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 activeTab="1"/>
  </bookViews>
  <sheets>
    <sheet name="工资" sheetId="1" r:id="rId1"/>
    <sheet name="粮油" sheetId="2" r:id="rId2"/>
    <sheet name="昊恒" sheetId="3" r:id="rId3"/>
    <sheet name="建投" sheetId="4" r:id="rId4"/>
    <sheet name="盛鑫" sheetId="5" r:id="rId5"/>
    <sheet name="旅投" sheetId="6" r:id="rId6"/>
    <sheet name="东劳" sheetId="7" r:id="rId7"/>
    <sheet name="检测" sheetId="8" r:id="rId8"/>
    <sheet name="Sheet1" sheetId="9" r:id="rId9"/>
  </sheets>
  <calcPr calcId="124519"/>
</workbook>
</file>

<file path=xl/calcChain.xml><?xml version="1.0" encoding="utf-8"?>
<calcChain xmlns="http://schemas.openxmlformats.org/spreadsheetml/2006/main">
  <c r="G5" i="3"/>
  <c r="E5"/>
  <c r="G5" i="2"/>
  <c r="E5"/>
  <c r="E6"/>
  <c r="G7" i="3"/>
  <c r="G7" i="2"/>
  <c r="E9" i="4"/>
  <c r="E8"/>
  <c r="I9"/>
  <c r="I7" i="3" l="1"/>
  <c r="E6" i="6"/>
  <c r="J6" i="5"/>
  <c r="E6"/>
  <c r="E10"/>
  <c r="E6" i="8"/>
  <c r="H6" i="6"/>
  <c r="H6" i="8"/>
  <c r="H6" i="7"/>
  <c r="E6"/>
  <c r="E10"/>
  <c r="E7" i="2"/>
  <c r="E10"/>
  <c r="H7"/>
  <c r="H7" i="3"/>
  <c r="E7"/>
  <c r="E10"/>
  <c r="E9"/>
  <c r="E4"/>
  <c r="E8" s="1"/>
  <c r="E4" i="5"/>
  <c r="E11" i="7"/>
  <c r="E4" i="2"/>
  <c r="E4" i="6"/>
  <c r="G11" i="7"/>
  <c r="G7"/>
  <c r="G11" i="8"/>
  <c r="G7"/>
  <c r="I10" i="5"/>
  <c r="I9"/>
  <c r="I8"/>
  <c r="E11" i="8"/>
  <c r="E10"/>
  <c r="E9"/>
  <c r="E8"/>
  <c r="E9" i="7"/>
  <c r="E8"/>
  <c r="E7" s="1"/>
  <c r="E10" i="6"/>
  <c r="E9"/>
  <c r="E8"/>
  <c r="E9" i="2"/>
  <c r="E9" i="5"/>
  <c r="E8"/>
  <c r="D16" i="7"/>
  <c r="E16" s="1"/>
  <c r="D16" i="8"/>
  <c r="E16" s="1"/>
  <c r="E7"/>
  <c r="E4" i="7"/>
  <c r="D16" i="6"/>
  <c r="E16" s="1"/>
  <c r="D16" i="4"/>
  <c r="E16" s="1"/>
  <c r="D17" i="5"/>
  <c r="E17" s="1"/>
  <c r="E4" i="4"/>
  <c r="D16" i="3"/>
  <c r="E16" s="1"/>
  <c r="D16" i="2"/>
  <c r="E16" s="1"/>
  <c r="G8" i="3" l="1"/>
  <c r="E11"/>
  <c r="E7" i="6"/>
  <c r="E10" i="4"/>
  <c r="E5"/>
  <c r="E7" i="5"/>
  <c r="E4" i="8"/>
  <c r="G4"/>
  <c r="G5" s="1"/>
  <c r="E5"/>
  <c r="E5" i="7"/>
  <c r="G4" i="6"/>
  <c r="G5" s="1"/>
  <c r="E5"/>
  <c r="G4" i="5"/>
  <c r="G5" s="1"/>
  <c r="E5"/>
  <c r="G4" i="4"/>
  <c r="G5" s="1"/>
  <c r="G4" i="3"/>
  <c r="G6" s="1"/>
  <c r="G11" l="1"/>
  <c r="E11" i="5"/>
  <c r="G7"/>
  <c r="G11" s="1"/>
  <c r="E11" i="6"/>
  <c r="G7"/>
  <c r="G11" s="1"/>
  <c r="E7" i="4"/>
  <c r="E6" s="1"/>
  <c r="H6" s="1"/>
  <c r="E8" i="2"/>
  <c r="G4"/>
  <c r="G6" s="1"/>
  <c r="G4" i="7"/>
  <c r="G5" s="1"/>
  <c r="E6" i="3"/>
  <c r="E11" i="2" l="1"/>
  <c r="G8"/>
  <c r="G11" s="1"/>
  <c r="G7" i="4"/>
  <c r="G11" s="1"/>
  <c r="E11"/>
</calcChain>
</file>

<file path=xl/comments1.xml><?xml version="1.0" encoding="utf-8"?>
<comments xmlns="http://schemas.openxmlformats.org/spreadsheetml/2006/main">
  <authors>
    <author>cz01</author>
  </authors>
  <commentList>
    <comment ref="D8" authorId="0">
      <text>
        <r>
          <rPr>
            <b/>
            <sz val="9"/>
            <color indexed="81"/>
            <rFont val="Tahoma"/>
            <family val="2"/>
            <charset val="134"/>
          </rPr>
          <t>取自2017年12月31日企业快报</t>
        </r>
        <r>
          <rPr>
            <sz val="9"/>
            <color indexed="81"/>
            <rFont val="Tahoma"/>
            <family val="2"/>
            <charset val="134"/>
          </rPr>
          <t xml:space="preserve">
</t>
        </r>
      </text>
    </comment>
    <comment ref="D9" authorId="0">
      <text>
        <r>
          <rPr>
            <b/>
            <sz val="9"/>
            <color indexed="81"/>
            <rFont val="Tahoma"/>
            <family val="2"/>
            <charset val="134"/>
          </rPr>
          <t>取自至诚给的建投公司拨入与拨出表</t>
        </r>
        <r>
          <rPr>
            <sz val="9"/>
            <color indexed="81"/>
            <rFont val="Tahoma"/>
            <family val="2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<sst xmlns="http://schemas.openxmlformats.org/spreadsheetml/2006/main" count="272" uniqueCount="140">
  <si>
    <t>昆明东川稷龙工贸有限公司</t>
  </si>
  <si>
    <t>2016年企业工资汇总情况表</t>
  </si>
  <si>
    <t>序号</t>
  </si>
  <si>
    <t>单位名称</t>
  </si>
  <si>
    <t>12月末人数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</si>
  <si>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</si>
  <si>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</si>
  <si>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</si>
  <si>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</si>
  <si>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</si>
  <si>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</si>
  <si>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</si>
  <si>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</si>
  <si>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</si>
  <si>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</si>
  <si>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</si>
  <si>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</si>
  <si>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全年平均数</t>
  </si>
  <si>
    <t>昆明市东川粮油购销有限公司</t>
    <phoneticPr fontId="1" type="noConversion"/>
  </si>
  <si>
    <t>副职</t>
    <phoneticPr fontId="1" type="noConversion"/>
  </si>
  <si>
    <t>法人、董事长兼总经理</t>
    <phoneticPr fontId="1" type="noConversion"/>
  </si>
  <si>
    <t>副职绩效</t>
    <phoneticPr fontId="1" type="noConversion"/>
  </si>
  <si>
    <t>职工月平均工资</t>
    <phoneticPr fontId="1" type="noConversion"/>
  </si>
  <si>
    <t>副职月工资（法人的0.9倍）</t>
    <phoneticPr fontId="1" type="noConversion"/>
  </si>
  <si>
    <t>法人月工资（2倍）元</t>
    <phoneticPr fontId="1" type="noConversion"/>
  </si>
  <si>
    <t>昆明市东川昊恒保安服务有限公司</t>
    <phoneticPr fontId="1" type="noConversion"/>
  </si>
  <si>
    <t>昆明市东川区建设投资有限公司</t>
    <phoneticPr fontId="1" type="noConversion"/>
  </si>
  <si>
    <t>法人月工资（1.4倍）元</t>
    <phoneticPr fontId="1" type="noConversion"/>
  </si>
  <si>
    <t>云南乌蒙巅峰旅游投资有限公司</t>
    <phoneticPr fontId="1" type="noConversion"/>
  </si>
  <si>
    <t>法人、执行董事兼总经理</t>
    <phoneticPr fontId="1" type="noConversion"/>
  </si>
  <si>
    <t>法人月工资（1.1倍）元</t>
    <phoneticPr fontId="1" type="noConversion"/>
  </si>
  <si>
    <t>3027.2（审计认定）</t>
    <phoneticPr fontId="1" type="noConversion"/>
  </si>
  <si>
    <t>3272.14（审计认定）</t>
    <phoneticPr fontId="1" type="noConversion"/>
  </si>
  <si>
    <t>5456.63元（审计认定，之前不含张朝阳工资）</t>
    <phoneticPr fontId="1" type="noConversion"/>
  </si>
  <si>
    <t>2363.07元（审计认定）</t>
    <phoneticPr fontId="1" type="noConversion"/>
  </si>
  <si>
    <t>2914.67元（审计认定，含五险一金）</t>
    <phoneticPr fontId="1" type="noConversion"/>
  </si>
  <si>
    <t>2014利润总额</t>
    <phoneticPr fontId="1" type="noConversion"/>
  </si>
  <si>
    <t>2015利润总额</t>
  </si>
  <si>
    <t>2016利润总额</t>
  </si>
  <si>
    <t>合计</t>
    <phoneticPr fontId="1" type="noConversion"/>
  </si>
  <si>
    <t>平均值</t>
    <phoneticPr fontId="1" type="noConversion"/>
  </si>
  <si>
    <t>净资产（万元，J,60%,系数1）</t>
    <phoneticPr fontId="1" type="noConversion"/>
  </si>
  <si>
    <t>融资额、担保额（万元，R,50%,系数1）</t>
    <phoneticPr fontId="1" type="noConversion"/>
  </si>
  <si>
    <t>投资额(万元,T,30%,系数0.1)</t>
    <phoneticPr fontId="1" type="noConversion"/>
  </si>
  <si>
    <t>资产总额(万元,L,20%,系数0.6)</t>
    <phoneticPr fontId="1" type="noConversion"/>
  </si>
  <si>
    <t>资产总额(万元,L,20%,系数0.4)</t>
    <phoneticPr fontId="1" type="noConversion"/>
  </si>
  <si>
    <t>融资额、担保额（万元，R,50%,系数0.1）</t>
    <phoneticPr fontId="1" type="noConversion"/>
  </si>
  <si>
    <t>从业人员（人，C,20%,系数0.1）</t>
    <phoneticPr fontId="1" type="noConversion"/>
  </si>
  <si>
    <t>营业收入（万元，Y,30%,系数0.2）</t>
    <phoneticPr fontId="1" type="noConversion"/>
  </si>
  <si>
    <t>净资产（万元，Z,50%,系数0.1）</t>
    <phoneticPr fontId="1" type="noConversion"/>
  </si>
  <si>
    <t>营业收入（万元，Y,30%,系数0.1）</t>
    <phoneticPr fontId="1" type="noConversion"/>
  </si>
  <si>
    <t>3272.14元（审计认定）</t>
    <phoneticPr fontId="1" type="noConversion"/>
  </si>
  <si>
    <t>3027.2元（审计认定）</t>
    <phoneticPr fontId="1" type="noConversion"/>
  </si>
  <si>
    <t>3609.72元（企业核算数）</t>
    <phoneticPr fontId="1" type="noConversion"/>
  </si>
  <si>
    <t>2363.76元（企业核算数）</t>
    <phoneticPr fontId="1" type="noConversion"/>
  </si>
  <si>
    <t>2421.15元（企业核算数）</t>
    <phoneticPr fontId="1" type="noConversion"/>
  </si>
  <si>
    <t>2219.67元（企业核算数）</t>
    <phoneticPr fontId="1" type="noConversion"/>
  </si>
  <si>
    <t>3018.83元(企业核算数)</t>
    <phoneticPr fontId="1" type="noConversion"/>
  </si>
  <si>
    <t>3272.05元(企业核算数)</t>
    <phoneticPr fontId="1" type="noConversion"/>
  </si>
  <si>
    <t>　　</t>
    <phoneticPr fontId="1" type="noConversion"/>
  </si>
  <si>
    <t>法人月薪（基本+绩效）</t>
    <phoneticPr fontId="1" type="noConversion"/>
  </si>
  <si>
    <t>杨晶(5000元,含五险一金)</t>
    <phoneticPr fontId="1" type="noConversion"/>
  </si>
  <si>
    <t>谢松(建投、乡企、裕民、扶贫、交投、兴川），3月工资含五险一金：3500（基本）+1500（职务/1500)=5000元</t>
    <phoneticPr fontId="1" type="noConversion"/>
  </si>
  <si>
    <t>李三(含五险一金工资:2800元)</t>
    <phoneticPr fontId="1" type="noConversion"/>
  </si>
  <si>
    <t>张瑞荣(粮油公司及稷龙公司)(含五险一金工资:5850元/含效益工资1000元)</t>
    <phoneticPr fontId="1" type="noConversion"/>
  </si>
  <si>
    <t>彭兴美(含五险一金工资:2851.36元)</t>
    <phoneticPr fontId="1" type="noConversion"/>
  </si>
  <si>
    <t>实发</t>
    <phoneticPr fontId="1" type="noConversion"/>
  </si>
  <si>
    <t>医保</t>
    <phoneticPr fontId="1" type="noConversion"/>
  </si>
  <si>
    <t>养老</t>
    <phoneticPr fontId="1" type="noConversion"/>
  </si>
  <si>
    <t>工伤</t>
    <phoneticPr fontId="1" type="noConversion"/>
  </si>
  <si>
    <t>生育</t>
    <phoneticPr fontId="1" type="noConversion"/>
  </si>
  <si>
    <t>失业</t>
    <phoneticPr fontId="1" type="noConversion"/>
  </si>
  <si>
    <t>小计</t>
    <phoneticPr fontId="1" type="noConversion"/>
  </si>
  <si>
    <t>张会勇(盛鑫、东起）(含五险一金工资:3546.35元）</t>
    <phoneticPr fontId="1" type="noConversion"/>
  </si>
  <si>
    <t>法人基本年薪(万元)</t>
    <phoneticPr fontId="1" type="noConversion"/>
  </si>
  <si>
    <t>法人基本年薪(万元，基本工资*12月/10000)</t>
    <phoneticPr fontId="1" type="noConversion"/>
  </si>
  <si>
    <t>副职基本年薪(万元)</t>
    <phoneticPr fontId="1" type="noConversion"/>
  </si>
  <si>
    <t>副职绩效（法人0.9倍）</t>
    <phoneticPr fontId="1" type="noConversion"/>
  </si>
  <si>
    <t>法人月薪（基本+绩效）</t>
    <phoneticPr fontId="1" type="noConversion"/>
  </si>
  <si>
    <t>副职月薪（基本+绩效）(元)</t>
    <phoneticPr fontId="1" type="noConversion"/>
  </si>
  <si>
    <t>年度综合考核目标值</t>
    <phoneticPr fontId="1" type="noConversion"/>
  </si>
  <si>
    <t>A</t>
    <phoneticPr fontId="1" type="noConversion"/>
  </si>
  <si>
    <t>90分以上（含90分）</t>
    <phoneticPr fontId="1" type="noConversion"/>
  </si>
  <si>
    <t>B</t>
    <phoneticPr fontId="1" type="noConversion"/>
  </si>
  <si>
    <t>75-90分（含75分）</t>
    <phoneticPr fontId="1" type="noConversion"/>
  </si>
  <si>
    <t>C</t>
    <phoneticPr fontId="1" type="noConversion"/>
  </si>
  <si>
    <t>60-75分（含60分）</t>
    <phoneticPr fontId="1" type="noConversion"/>
  </si>
  <si>
    <t>D</t>
    <phoneticPr fontId="1" type="noConversion"/>
  </si>
  <si>
    <t>60分以下</t>
    <phoneticPr fontId="1" type="noConversion"/>
  </si>
  <si>
    <t>5456.63元（企业核算数）</t>
    <phoneticPr fontId="1" type="noConversion"/>
  </si>
  <si>
    <t>法人月工资（1.1倍）元</t>
    <phoneticPr fontId="1" type="noConversion"/>
  </si>
  <si>
    <t>法人月工资（普通职工工资的1.1倍）元</t>
    <phoneticPr fontId="1" type="noConversion"/>
  </si>
  <si>
    <t>法人绩效工资预测数（根据综合考核办法预测，绩效工资以年终最终考核确定）</t>
    <phoneticPr fontId="1" type="noConversion"/>
  </si>
  <si>
    <t>2209.09（审计认定）</t>
    <phoneticPr fontId="1" type="noConversion"/>
  </si>
  <si>
    <t>2209.09元（审计认定）</t>
    <phoneticPr fontId="1" type="noConversion"/>
  </si>
  <si>
    <t>2015利润总额</t>
    <phoneticPr fontId="1" type="noConversion"/>
  </si>
  <si>
    <t>1.法人绩效以审计核定的2017年考核指标为准,根据绩效年薪调节系数参考表最后确认.(公益类指标:1.从业人员 2.营业收入 3.净资产)</t>
    <phoneticPr fontId="1" type="noConversion"/>
  </si>
  <si>
    <t>2.对于年度综合考核结果连续三年为A级的企业负责人给予一次性奖励，奖励金额为基本年薪的1倍，连续三个为B级以上，奖励金额为基本年薪的0.5倍</t>
    <phoneticPr fontId="1" type="noConversion"/>
  </si>
  <si>
    <t>1.法人绩效以审计核定的2017年考核指标为准,根据绩效年薪调节系数参考表最后确认.(商业二类指标:1.资产总额  2.投资额  3.融资额、担保额)</t>
    <phoneticPr fontId="1" type="noConversion"/>
  </si>
  <si>
    <t>3.企业副总（职）工资按法人工资的0.9倍确认</t>
    <phoneticPr fontId="1" type="noConversion"/>
  </si>
  <si>
    <t>1.法人绩效以审计核定的2017年考核指标为准,根据绩效年薪调节系数参考表最后确认.(商业一类指标:1.净资产  2.利润总额)</t>
    <phoneticPr fontId="1" type="noConversion"/>
  </si>
  <si>
    <t>1.法人绩效以审计核定的2017年考核指标为准,根据绩效年薪调节系数参考表最后确认.(商业二类指标:1.资产总额  2.投资额  3.融资额、担保额)</t>
    <phoneticPr fontId="1" type="noConversion"/>
  </si>
  <si>
    <t>1890.95元（审计认定含五险一金）</t>
    <phoneticPr fontId="1" type="noConversion"/>
  </si>
  <si>
    <t>1890.95元（审计认定，含五险一金）</t>
    <phoneticPr fontId="1" type="noConversion"/>
  </si>
  <si>
    <t>净资产（万元，J,60%,系数1）</t>
    <phoneticPr fontId="1" type="noConversion"/>
  </si>
  <si>
    <t>利润总额（万元,L,40%,系数1.5）</t>
    <phoneticPr fontId="1" type="noConversion"/>
  </si>
  <si>
    <t>1423.26元（企业核算数）</t>
    <phoneticPr fontId="1" type="noConversion"/>
  </si>
  <si>
    <t>法人绩效年薪(万元)</t>
    <phoneticPr fontId="1" type="noConversion"/>
  </si>
  <si>
    <t>2017年昊恒年薪合计</t>
    <phoneticPr fontId="1" type="noConversion"/>
  </si>
  <si>
    <t>2017年粮油年薪合计</t>
    <phoneticPr fontId="1" type="noConversion"/>
  </si>
  <si>
    <t>净资产（万元，Z,50%,系数0.4）</t>
    <phoneticPr fontId="1" type="noConversion"/>
  </si>
  <si>
    <t>2017年年薪合计</t>
    <phoneticPr fontId="1" type="noConversion"/>
  </si>
  <si>
    <t>融资额、担保额（万元，R,50%,系数0.1）</t>
    <phoneticPr fontId="1" type="noConversion"/>
  </si>
  <si>
    <t>2017年绩效考核实发数</t>
    <phoneticPr fontId="1" type="noConversion"/>
  </si>
  <si>
    <t>昆明市东川粮油购销有限公司（2017年）</t>
    <phoneticPr fontId="1" type="noConversion"/>
  </si>
  <si>
    <t>昆明市东川昊恒保安服务有限公司（2017年）</t>
    <phoneticPr fontId="1" type="noConversion"/>
  </si>
  <si>
    <t>昆明市东川区建设投资有限公司（2017年）</t>
    <phoneticPr fontId="1" type="noConversion"/>
  </si>
  <si>
    <t>昆明市东川区盛鑫工业园区投资有限责任公司（2017年）</t>
    <phoneticPr fontId="1" type="noConversion"/>
  </si>
  <si>
    <t>云南乌蒙巅峰旅游投资有限公司（2017年）</t>
    <phoneticPr fontId="1" type="noConversion"/>
  </si>
  <si>
    <t>昆明市东川区东劳人力资源中心（2017年）</t>
    <phoneticPr fontId="1" type="noConversion"/>
  </si>
  <si>
    <t>昆明市东川区建筑工程质量检测中心（2017年）</t>
    <phoneticPr fontId="1" type="noConversion"/>
  </si>
  <si>
    <t>扶贫公司融入</t>
    <phoneticPr fontId="1" type="noConversion"/>
  </si>
  <si>
    <t>建投融入</t>
    <phoneticPr fontId="1" type="noConversion"/>
  </si>
  <si>
    <t>区乡融入</t>
    <phoneticPr fontId="1" type="noConversion"/>
  </si>
  <si>
    <t>合计融入</t>
    <phoneticPr fontId="1" type="noConversion"/>
  </si>
  <si>
    <t>建投支出</t>
    <phoneticPr fontId="1" type="noConversion"/>
  </si>
  <si>
    <t>资产总额(万元,L,20%,系数1.5)</t>
    <phoneticPr fontId="1" type="noConversion"/>
  </si>
  <si>
    <t>投资额(万元,T,30%,系数1.2)</t>
    <phoneticPr fontId="1" type="noConversion"/>
  </si>
  <si>
    <t>昆明市东川区东劳人力资源中心</t>
    <phoneticPr fontId="1" type="noConversion"/>
  </si>
  <si>
    <t>昆明市东川区建筑工程质量检测中心</t>
    <phoneticPr fontId="1" type="noConversion"/>
  </si>
  <si>
    <t>昆明市东川区盛鑫工业园区投资有限责任公司</t>
    <phoneticPr fontId="1" type="noConversion"/>
  </si>
  <si>
    <t>1.法人绩效以审计核定的2017年考核指标为准,根据绩效年薪调节系数参考表最后确认.(商业二类指标:1.资产总额  2.投资额  3.融资额、担保额)</t>
    <phoneticPr fontId="1" type="noConversion"/>
  </si>
  <si>
    <t>副职绩效年薪(万元)</t>
    <phoneticPr fontId="1" type="noConversion"/>
  </si>
  <si>
    <t>副职月绩效</t>
    <phoneticPr fontId="1" type="noConversion"/>
  </si>
  <si>
    <t>左有良</t>
    <phoneticPr fontId="1" type="noConversion"/>
  </si>
  <si>
    <t>郭兴能、黎顺兴</t>
    <phoneticPr fontId="1" type="noConversion"/>
  </si>
  <si>
    <t>法人年薪</t>
    <phoneticPr fontId="1" type="noConversion"/>
  </si>
  <si>
    <t>副职年薪</t>
    <phoneticPr fontId="1" type="noConversion"/>
  </si>
  <si>
    <t>利润总额（万元,L,40%，三年平均数,比上年增长17.05万元,系数,系数0.8）</t>
    <phoneticPr fontId="1" type="noConversion"/>
  </si>
  <si>
    <t>马世林（副书记）</t>
    <phoneticPr fontId="1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</si>
</sst>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 "/>
    <numFmt numFmtId="177" formatCode="0.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indexed="81"/>
      <name val="Tahoma"/>
      <family val="2"/>
      <charset val="134"/>
    </font>
    <font>
      <b/>
      <sz val="9"/>
      <color indexed="81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3" fillId="0" borderId="1" xfId="0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0" xfId="1" applyFont="1" applyBorder="1" applyAlignment="1"/>
    <xf numFmtId="43" fontId="0" fillId="0" borderId="0" xfId="1" applyFont="1" applyAlignment="1"/>
    <xf numFmtId="3" fontId="0" fillId="0" borderId="0" xfId="0" applyNumberFormat="1">
      <alignment vertical="center"/>
    </xf>
    <xf numFmtId="3" fontId="0" fillId="0" borderId="1" xfId="0" applyNumberFormat="1" applyBorder="1" applyAlignment="1">
      <alignment horizontal="center" vertical="center" wrapText="1"/>
    </xf>
    <xf numFmtId="176" fontId="8" fillId="0" borderId="0" xfId="0" applyNumberFormat="1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B10" sqref="B10"/>
    </sheetView>
  </sheetViews>
  <sheetFormatPr defaultRowHeight="13.5"/>
  <cols>
    <col min="1" max="1" width="3.625" style="1" customWidth="1"/>
    <col min="2" max="2" width="15.5" customWidth="1"/>
    <col min="3" max="3" width="4.875" customWidth="1"/>
    <col min="4" max="4" width="8.5" customWidth="1"/>
    <col min="6" max="6" width="8" customWidth="1"/>
    <col min="7" max="7" width="8.125" customWidth="1"/>
    <col min="8" max="8" width="8.375" customWidth="1"/>
    <col min="9" max="9" width="8.25" customWidth="1"/>
    <col min="11" max="11" width="8.5" customWidth="1"/>
    <col min="12" max="12" width="7.75" customWidth="1"/>
    <col min="13" max="13" width="8.75" customWidth="1"/>
    <col min="14" max="14" width="7.75" customWidth="1"/>
    <col min="15" max="15" width="8.75" customWidth="1"/>
    <col min="16" max="16" width="8" customWidth="1"/>
  </cols>
  <sheetData>
    <row r="1" spans="1:16" ht="42" customHeight="1">
      <c r="A1" s="46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42" customHeight="1">
      <c r="A2" s="4" t="s">
        <v>2</v>
      </c>
      <c r="B2" s="4" t="s">
        <v>3</v>
      </c>
      <c r="C2" s="21" t="s">
        <v>4</v>
      </c>
      <c r="D2" s="22" t="s">
        <v>5</v>
      </c>
      <c r="E2" s="22" t="s">
        <v>6</v>
      </c>
      <c r="F2" s="22" t="s">
        <v>7</v>
      </c>
      <c r="G2" s="22" t="s">
        <v>8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13</v>
      </c>
      <c r="M2" s="22" t="s">
        <v>14</v>
      </c>
      <c r="N2" s="22" t="s">
        <v>15</v>
      </c>
      <c r="O2" s="22" t="s">
        <v>16</v>
      </c>
      <c r="P2" s="23" t="s">
        <v>17</v>
      </c>
    </row>
    <row r="3" spans="1:16" ht="42" customHeight="1">
      <c r="A3" s="4">
        <v>1</v>
      </c>
      <c r="B3" s="7" t="s">
        <v>25</v>
      </c>
      <c r="C3" s="22">
        <v>165</v>
      </c>
      <c r="D3" s="6">
        <v>1411.8606593406594</v>
      </c>
      <c r="E3" s="6">
        <v>1459.9754601226994</v>
      </c>
      <c r="F3" s="6">
        <v>1376.6257668711658</v>
      </c>
      <c r="G3" s="6">
        <v>1394.5157232704403</v>
      </c>
      <c r="H3" s="6">
        <v>1405.25786163522</v>
      </c>
      <c r="I3" s="6">
        <v>1379.2903225806451</v>
      </c>
      <c r="J3" s="6">
        <v>1376.258064516129</v>
      </c>
      <c r="K3" s="6">
        <v>1387.3548387096773</v>
      </c>
      <c r="L3" s="6">
        <v>1400.7243589743589</v>
      </c>
      <c r="M3" s="6">
        <v>1456.9871794871794</v>
      </c>
      <c r="N3" s="6">
        <v>1442.4358974358975</v>
      </c>
      <c r="O3" s="6">
        <v>1587.8242424242424</v>
      </c>
      <c r="P3" s="6">
        <v>1423.2591979473598</v>
      </c>
    </row>
    <row r="4" spans="1:16" ht="42" customHeight="1">
      <c r="A4" s="4">
        <v>2</v>
      </c>
      <c r="B4" s="7" t="s">
        <v>128</v>
      </c>
      <c r="C4" s="22">
        <v>7</v>
      </c>
      <c r="D4" s="6">
        <v>2415.91114285714</v>
      </c>
      <c r="E4" s="6">
        <v>2324.5700000000002</v>
      </c>
      <c r="F4" s="6">
        <v>2362.5500000000002</v>
      </c>
      <c r="G4" s="6">
        <v>2592.2471428571398</v>
      </c>
      <c r="H4" s="6">
        <v>2252.0171428571398</v>
      </c>
      <c r="I4" s="6">
        <v>2295.7142857142899</v>
      </c>
      <c r="J4" s="6">
        <v>2677.0242857142898</v>
      </c>
      <c r="K4" s="6">
        <v>2302.83142857143</v>
      </c>
      <c r="L4" s="6">
        <v>2223.7957142857099</v>
      </c>
      <c r="M4" s="6">
        <v>2157.7199999999998</v>
      </c>
      <c r="N4" s="6">
        <v>2623.04</v>
      </c>
      <c r="O4" s="6">
        <v>2826.3814285714302</v>
      </c>
      <c r="P4" s="6">
        <v>2421.1502142857139</v>
      </c>
    </row>
    <row r="5" spans="1:16" ht="42" customHeight="1">
      <c r="A5" s="4">
        <v>3</v>
      </c>
      <c r="B5" s="7" t="s">
        <v>18</v>
      </c>
      <c r="C5" s="22">
        <v>64</v>
      </c>
      <c r="D5" s="6">
        <v>2514.8627450980393</v>
      </c>
      <c r="E5" s="6">
        <v>2533.0588235294117</v>
      </c>
      <c r="F5" s="6">
        <v>3167.6078431372548</v>
      </c>
      <c r="G5" s="6">
        <v>3155.0588235294117</v>
      </c>
      <c r="H5" s="6">
        <v>3186.3921568627452</v>
      </c>
      <c r="I5" s="6">
        <v>3773.7254901960782</v>
      </c>
      <c r="J5" s="6">
        <v>3132.4193548387098</v>
      </c>
      <c r="K5" s="6">
        <v>3084.1935483870966</v>
      </c>
      <c r="L5" s="6">
        <v>3153.0806451612902</v>
      </c>
      <c r="M5" s="6">
        <v>4425.9193548387093</v>
      </c>
      <c r="N5" s="6">
        <v>3361.031746031746</v>
      </c>
      <c r="O5" s="6">
        <v>3537.296875</v>
      </c>
      <c r="P5" s="6">
        <v>3272.05395055087</v>
      </c>
    </row>
    <row r="6" spans="1:16" ht="42" customHeight="1">
      <c r="A6" s="4">
        <v>4</v>
      </c>
      <c r="B6" s="7" t="s">
        <v>0</v>
      </c>
      <c r="C6" s="22">
        <v>34</v>
      </c>
      <c r="D6" s="6">
        <v>1928.29</v>
      </c>
      <c r="E6" s="6">
        <v>2653.14</v>
      </c>
      <c r="F6" s="6">
        <v>3268.71</v>
      </c>
      <c r="G6" s="6">
        <v>2928.06</v>
      </c>
      <c r="H6" s="6">
        <v>2953.45</v>
      </c>
      <c r="I6" s="6">
        <v>2934.73</v>
      </c>
      <c r="J6" s="6">
        <v>2966.92</v>
      </c>
      <c r="K6" s="6">
        <v>2595.31</v>
      </c>
      <c r="L6" s="6">
        <v>3028.68</v>
      </c>
      <c r="M6" s="6">
        <v>4519.2</v>
      </c>
      <c r="N6" s="6">
        <v>3245.45</v>
      </c>
      <c r="O6" s="6">
        <v>5712.06</v>
      </c>
      <c r="P6" s="6">
        <v>3227.8333333333335</v>
      </c>
    </row>
    <row r="7" spans="1:16" ht="42" customHeight="1">
      <c r="A7" s="4">
        <v>5</v>
      </c>
      <c r="B7" s="7" t="s">
        <v>129</v>
      </c>
      <c r="C7" s="22">
        <v>14</v>
      </c>
      <c r="D7" s="6">
        <v>2000</v>
      </c>
      <c r="E7" s="6">
        <v>4928.5714285714303</v>
      </c>
      <c r="F7" s="6">
        <v>2000</v>
      </c>
      <c r="G7" s="6">
        <v>2013.3333333333301</v>
      </c>
      <c r="H7" s="6">
        <v>2050</v>
      </c>
      <c r="I7" s="6">
        <v>2100</v>
      </c>
      <c r="J7" s="6">
        <v>2165.7142857142899</v>
      </c>
      <c r="K7" s="6">
        <v>2165.7142857142899</v>
      </c>
      <c r="L7" s="6">
        <v>2186.1538461538498</v>
      </c>
      <c r="M7" s="6">
        <v>2132.3076923076901</v>
      </c>
      <c r="N7" s="6">
        <v>2536.1538461538498</v>
      </c>
      <c r="O7" s="6">
        <v>2087.1428571428601</v>
      </c>
      <c r="P7" s="6">
        <v>2363.757631257633</v>
      </c>
    </row>
    <row r="8" spans="1:16" ht="42" customHeight="1">
      <c r="A8" s="4">
        <v>6</v>
      </c>
      <c r="B8" s="7" t="s">
        <v>26</v>
      </c>
      <c r="C8" s="22">
        <v>7</v>
      </c>
      <c r="D8" s="6">
        <v>2760</v>
      </c>
      <c r="E8" s="6">
        <v>2760</v>
      </c>
      <c r="F8" s="6">
        <v>2860</v>
      </c>
      <c r="G8" s="6">
        <v>2860</v>
      </c>
      <c r="H8" s="6">
        <v>2860</v>
      </c>
      <c r="I8" s="6">
        <v>3280</v>
      </c>
      <c r="J8" s="6">
        <v>3280</v>
      </c>
      <c r="K8" s="6">
        <v>3280</v>
      </c>
      <c r="L8" s="6">
        <v>3093</v>
      </c>
      <c r="M8" s="6">
        <v>3093</v>
      </c>
      <c r="N8" s="6">
        <v>3050</v>
      </c>
      <c r="O8" s="6">
        <v>3050</v>
      </c>
      <c r="P8" s="6">
        <v>3018.8333333333335</v>
      </c>
    </row>
    <row r="9" spans="1:16" ht="42" customHeight="1">
      <c r="A9" s="4">
        <v>7</v>
      </c>
      <c r="B9" s="7" t="s">
        <v>28</v>
      </c>
      <c r="C9" s="22">
        <v>11</v>
      </c>
      <c r="D9" s="6">
        <v>3848.57</v>
      </c>
      <c r="E9" s="6">
        <v>3855.71</v>
      </c>
      <c r="F9" s="6">
        <v>3855.71</v>
      </c>
      <c r="G9" s="6">
        <v>3950</v>
      </c>
      <c r="H9" s="6">
        <v>3950</v>
      </c>
      <c r="I9" s="6">
        <v>3796.25</v>
      </c>
      <c r="J9" s="6">
        <v>3940</v>
      </c>
      <c r="K9" s="6">
        <v>3940</v>
      </c>
      <c r="L9" s="6">
        <v>3743.33</v>
      </c>
      <c r="M9" s="6">
        <v>2546.15</v>
      </c>
      <c r="N9" s="6">
        <v>2945.45</v>
      </c>
      <c r="O9" s="6">
        <v>2945.45</v>
      </c>
      <c r="P9" s="6">
        <v>3609.7183333333328</v>
      </c>
    </row>
    <row r="10" spans="1:16" ht="42" customHeight="1">
      <c r="A10" s="4">
        <v>8</v>
      </c>
      <c r="B10" s="7" t="s">
        <v>130</v>
      </c>
      <c r="C10" s="22">
        <v>3</v>
      </c>
      <c r="D10" s="6">
        <v>2120</v>
      </c>
      <c r="E10" s="6">
        <v>2120</v>
      </c>
      <c r="F10" s="6">
        <v>2200</v>
      </c>
      <c r="G10" s="6">
        <v>2200</v>
      </c>
      <c r="H10" s="6">
        <v>2200</v>
      </c>
      <c r="I10" s="6">
        <v>2200</v>
      </c>
      <c r="J10" s="6">
        <v>2266</v>
      </c>
      <c r="K10" s="6">
        <v>2266</v>
      </c>
      <c r="L10" s="6">
        <v>2266</v>
      </c>
      <c r="M10" s="6">
        <v>2266</v>
      </c>
      <c r="N10" s="6">
        <v>2266</v>
      </c>
      <c r="O10" s="6">
        <v>2266</v>
      </c>
      <c r="P10" s="6">
        <v>2219.6666666666665</v>
      </c>
    </row>
    <row r="11" spans="1:16" ht="42" customHeight="1"/>
    <row r="12" spans="1:16" ht="42" customHeight="1"/>
    <row r="13" spans="1:16" ht="42" customHeight="1"/>
    <row r="14" spans="1:16" ht="42" customHeight="1"/>
  </sheetData>
  <mergeCells count="1">
    <mergeCell ref="A1:P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D24" sqref="D24"/>
    </sheetView>
  </sheetViews>
  <sheetFormatPr defaultRowHeight="13.5"/>
  <cols>
    <col min="1" max="1" width="16.125" customWidth="1"/>
    <col min="2" max="2" width="27.25" style="2" customWidth="1"/>
    <col min="3" max="3" width="20.25" style="2" customWidth="1"/>
    <col min="4" max="4" width="15" style="2" customWidth="1"/>
    <col min="5" max="5" width="15.875" style="2" customWidth="1"/>
    <col min="6" max="6" width="19.875" style="2" customWidth="1"/>
    <col min="7" max="7" width="19.375" style="2" customWidth="1"/>
    <col min="8" max="8" width="14.875" hidden="1" customWidth="1"/>
    <col min="9" max="9" width="18.5" hidden="1" customWidth="1"/>
    <col min="10" max="10" width="18.5" style="2" customWidth="1"/>
    <col min="11" max="11" width="18.5" customWidth="1"/>
    <col min="12" max="12" width="12.75" customWidth="1"/>
  </cols>
  <sheetData>
    <row r="1" spans="1:14" ht="42" customHeight="1">
      <c r="A1" s="48" t="s">
        <v>114</v>
      </c>
      <c r="B1" s="48"/>
      <c r="C1" s="48"/>
      <c r="D1" s="48"/>
      <c r="E1" s="48"/>
      <c r="F1" s="48"/>
      <c r="G1" s="48"/>
    </row>
    <row r="2" spans="1:14" ht="24" customHeight="1">
      <c r="A2" s="10" t="s">
        <v>22</v>
      </c>
      <c r="B2" s="52" t="s">
        <v>20</v>
      </c>
      <c r="C2" s="52"/>
      <c r="D2" s="52"/>
      <c r="E2" s="52"/>
      <c r="F2" s="52" t="s">
        <v>19</v>
      </c>
      <c r="G2" s="52"/>
      <c r="H2" s="8"/>
      <c r="I2" s="8"/>
      <c r="J2" s="8"/>
      <c r="K2" s="8"/>
      <c r="L2" s="8"/>
      <c r="M2" s="9"/>
      <c r="N2" s="9"/>
    </row>
    <row r="3" spans="1:14" ht="33" customHeight="1">
      <c r="A3" s="49" t="s">
        <v>51</v>
      </c>
      <c r="B3" s="59" t="s">
        <v>64</v>
      </c>
      <c r="C3" s="59"/>
      <c r="D3" s="59"/>
      <c r="E3" s="59"/>
      <c r="F3" s="59" t="s">
        <v>139</v>
      </c>
      <c r="G3" s="59"/>
      <c r="I3" s="2"/>
    </row>
    <row r="4" spans="1:14" ht="33" customHeight="1">
      <c r="A4" s="50"/>
      <c r="B4" s="56" t="s">
        <v>91</v>
      </c>
      <c r="C4" s="57"/>
      <c r="D4" s="58"/>
      <c r="E4" s="11">
        <f>3272.14*1.1</f>
        <v>3599.3540000000003</v>
      </c>
      <c r="F4" s="10" t="s">
        <v>23</v>
      </c>
      <c r="G4" s="5">
        <f>E4*0.9</f>
        <v>3239.4186000000004</v>
      </c>
    </row>
    <row r="5" spans="1:14" s="2" customFormat="1" ht="26.25" customHeight="1">
      <c r="A5" s="50"/>
      <c r="B5" s="56" t="s">
        <v>136</v>
      </c>
      <c r="C5" s="57"/>
      <c r="D5" s="58"/>
      <c r="E5" s="11">
        <f>E6+E7</f>
        <v>8.2929116160000014</v>
      </c>
      <c r="F5" s="44" t="s">
        <v>137</v>
      </c>
      <c r="G5" s="5">
        <f>SUM(G6:G7)</f>
        <v>7.4636204544000009</v>
      </c>
    </row>
    <row r="6" spans="1:14" ht="33" customHeight="1">
      <c r="A6" s="50"/>
      <c r="B6" s="53" t="s">
        <v>75</v>
      </c>
      <c r="C6" s="54"/>
      <c r="D6" s="55"/>
      <c r="E6" s="11">
        <f>E4*12/10000</f>
        <v>4.3192248000000006</v>
      </c>
      <c r="F6" s="45" t="s">
        <v>76</v>
      </c>
      <c r="G6" s="5">
        <f>G4*12/10000</f>
        <v>3.8873023200000003</v>
      </c>
      <c r="H6" s="37" t="s">
        <v>109</v>
      </c>
    </row>
    <row r="7" spans="1:14" s="2" customFormat="1" ht="33" customHeight="1">
      <c r="A7" s="50"/>
      <c r="B7" s="52" t="s">
        <v>107</v>
      </c>
      <c r="C7" s="52"/>
      <c r="D7" s="52"/>
      <c r="E7" s="11">
        <f>E8*12/10000</f>
        <v>3.9736868160000007</v>
      </c>
      <c r="F7" s="45" t="s">
        <v>132</v>
      </c>
      <c r="G7" s="5">
        <f>G8*12/10000</f>
        <v>3.5763181344000006</v>
      </c>
      <c r="H7" s="13">
        <f>E6+E7</f>
        <v>8.2929116160000014</v>
      </c>
    </row>
    <row r="8" spans="1:14" s="2" customFormat="1" ht="33" customHeight="1">
      <c r="A8" s="50"/>
      <c r="B8" s="49" t="s">
        <v>92</v>
      </c>
      <c r="C8" s="52" t="s">
        <v>113</v>
      </c>
      <c r="D8" s="52"/>
      <c r="E8" s="11">
        <f>SUM(E9:E10)</f>
        <v>3311.4056800000003</v>
      </c>
      <c r="F8" s="44" t="s">
        <v>133</v>
      </c>
      <c r="G8" s="5">
        <f>E8*0.9</f>
        <v>2980.2651120000005</v>
      </c>
    </row>
    <row r="9" spans="1:14" ht="33" customHeight="1">
      <c r="A9" s="50"/>
      <c r="B9" s="50"/>
      <c r="C9" s="14" t="s">
        <v>41</v>
      </c>
      <c r="D9" s="14">
        <v>1746</v>
      </c>
      <c r="E9" s="11">
        <f>E4*1*60%</f>
        <v>2159.6124</v>
      </c>
      <c r="G9" s="3"/>
    </row>
    <row r="10" spans="1:14" s="2" customFormat="1" ht="44.25" customHeight="1">
      <c r="A10" s="50"/>
      <c r="B10" s="51"/>
      <c r="C10" s="21" t="s">
        <v>138</v>
      </c>
      <c r="D10" s="14">
        <v>22.23</v>
      </c>
      <c r="E10" s="11">
        <f>(E4*0.8*40%)</f>
        <v>1151.7932800000003</v>
      </c>
      <c r="F10" s="14"/>
      <c r="G10" s="3"/>
    </row>
    <row r="11" spans="1:14" ht="33" customHeight="1">
      <c r="A11" s="51"/>
      <c r="B11" s="52" t="s">
        <v>60</v>
      </c>
      <c r="C11" s="52"/>
      <c r="D11" s="52"/>
      <c r="E11" s="12">
        <f>E8+E4</f>
        <v>6910.759680000001</v>
      </c>
      <c r="F11" s="31" t="s">
        <v>79</v>
      </c>
      <c r="G11" s="5">
        <f>G8+G4</f>
        <v>6219.6837120000009</v>
      </c>
    </row>
    <row r="12" spans="1:14" ht="27.75" customHeight="1">
      <c r="B12" s="2" t="s">
        <v>32</v>
      </c>
      <c r="C12" s="2" t="s">
        <v>58</v>
      </c>
    </row>
    <row r="13" spans="1:14" ht="27.75" customHeight="1">
      <c r="A13" s="2" t="s">
        <v>100</v>
      </c>
    </row>
    <row r="14" spans="1:14" s="2" customFormat="1" ht="27.75" customHeight="1">
      <c r="A14" s="19" t="s">
        <v>97</v>
      </c>
    </row>
    <row r="15" spans="1:14" ht="21.75" hidden="1" customHeight="1">
      <c r="A15" s="15" t="s">
        <v>36</v>
      </c>
      <c r="B15" s="15" t="s">
        <v>37</v>
      </c>
      <c r="C15" s="15" t="s">
        <v>38</v>
      </c>
      <c r="D15" s="15" t="s">
        <v>39</v>
      </c>
      <c r="E15" s="15" t="s">
        <v>40</v>
      </c>
    </row>
    <row r="16" spans="1:14" ht="21.75" hidden="1" customHeight="1">
      <c r="A16" s="15">
        <v>35.68</v>
      </c>
      <c r="B16" s="15">
        <v>36.31</v>
      </c>
      <c r="C16" s="15">
        <v>2.95</v>
      </c>
      <c r="D16" s="15">
        <f>SUM(A16:C16)</f>
        <v>74.940000000000012</v>
      </c>
      <c r="E16" s="16">
        <f>D16/3</f>
        <v>24.980000000000004</v>
      </c>
    </row>
    <row r="17" spans="1:3" hidden="1"/>
    <row r="18" spans="1:3" hidden="1">
      <c r="A18" s="59" t="s">
        <v>80</v>
      </c>
      <c r="B18" s="3" t="s">
        <v>81</v>
      </c>
      <c r="C18" s="3" t="s">
        <v>82</v>
      </c>
    </row>
    <row r="19" spans="1:3" hidden="1">
      <c r="A19" s="59"/>
      <c r="B19" s="3" t="s">
        <v>83</v>
      </c>
      <c r="C19" s="3" t="s">
        <v>84</v>
      </c>
    </row>
    <row r="20" spans="1:3" hidden="1">
      <c r="A20" s="59"/>
      <c r="B20" s="3" t="s">
        <v>85</v>
      </c>
      <c r="C20" s="3" t="s">
        <v>86</v>
      </c>
    </row>
    <row r="21" spans="1:3" hidden="1">
      <c r="A21" s="59"/>
      <c r="B21" s="3" t="s">
        <v>87</v>
      </c>
      <c r="C21" s="3" t="s">
        <v>88</v>
      </c>
    </row>
    <row r="22" spans="1:3" hidden="1"/>
    <row r="23" spans="1:3" hidden="1"/>
    <row r="24" spans="1:3" ht="27.75" customHeight="1">
      <c r="A24" s="19" t="s">
        <v>99</v>
      </c>
    </row>
  </sheetData>
  <mergeCells count="14">
    <mergeCell ref="A18:A21"/>
    <mergeCell ref="B2:E2"/>
    <mergeCell ref="F2:G2"/>
    <mergeCell ref="F3:G3"/>
    <mergeCell ref="B3:E3"/>
    <mergeCell ref="B7:D7"/>
    <mergeCell ref="A1:G1"/>
    <mergeCell ref="A3:A11"/>
    <mergeCell ref="C8:D8"/>
    <mergeCell ref="B6:D6"/>
    <mergeCell ref="B4:D4"/>
    <mergeCell ref="B8:B10"/>
    <mergeCell ref="B11:D11"/>
    <mergeCell ref="B5:D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A28" sqref="A28"/>
    </sheetView>
  </sheetViews>
  <sheetFormatPr defaultRowHeight="13.5"/>
  <cols>
    <col min="1" max="1" width="20" style="2" customWidth="1"/>
    <col min="2" max="2" width="22.625" style="2" customWidth="1"/>
    <col min="3" max="3" width="18.75" style="2" customWidth="1"/>
    <col min="4" max="4" width="18.875" style="2" customWidth="1"/>
    <col min="5" max="5" width="13" style="2" customWidth="1"/>
    <col min="6" max="6" width="18.25" style="2" customWidth="1"/>
    <col min="7" max="7" width="15.375" style="2" customWidth="1"/>
    <col min="8" max="8" width="14.875" style="2" hidden="1" customWidth="1"/>
    <col min="9" max="9" width="18.5" style="2" hidden="1" customWidth="1"/>
    <col min="10" max="11" width="18.5" style="2" customWidth="1"/>
    <col min="12" max="12" width="12.75" style="2" customWidth="1"/>
    <col min="13" max="16384" width="9" style="2"/>
  </cols>
  <sheetData>
    <row r="1" spans="1:14" ht="42" customHeight="1">
      <c r="A1" s="48" t="s">
        <v>115</v>
      </c>
      <c r="B1" s="48"/>
      <c r="C1" s="48"/>
      <c r="D1" s="48"/>
      <c r="E1" s="48"/>
      <c r="F1" s="48"/>
      <c r="G1" s="48"/>
    </row>
    <row r="2" spans="1:14" ht="30" customHeight="1">
      <c r="A2" s="10" t="s">
        <v>22</v>
      </c>
      <c r="B2" s="56" t="s">
        <v>20</v>
      </c>
      <c r="C2" s="57"/>
      <c r="D2" s="57"/>
      <c r="E2" s="58"/>
      <c r="F2" s="52" t="s">
        <v>19</v>
      </c>
      <c r="G2" s="52"/>
      <c r="H2" s="8"/>
      <c r="I2" s="8"/>
      <c r="J2" s="8"/>
      <c r="K2" s="8"/>
      <c r="L2" s="8"/>
      <c r="M2" s="9"/>
      <c r="N2" s="9"/>
    </row>
    <row r="3" spans="1:14" ht="30" customHeight="1">
      <c r="A3" s="49" t="s">
        <v>103</v>
      </c>
      <c r="B3" s="60" t="s">
        <v>135</v>
      </c>
      <c r="C3" s="61"/>
      <c r="D3" s="61"/>
      <c r="E3" s="62"/>
      <c r="F3" s="59" t="s">
        <v>134</v>
      </c>
      <c r="G3" s="59"/>
    </row>
    <row r="4" spans="1:14" ht="30" customHeight="1">
      <c r="A4" s="50"/>
      <c r="B4" s="52" t="s">
        <v>24</v>
      </c>
      <c r="C4" s="52"/>
      <c r="D4" s="52"/>
      <c r="E4" s="10">
        <f>1890.95*2</f>
        <v>3781.9</v>
      </c>
      <c r="F4" s="10" t="s">
        <v>23</v>
      </c>
      <c r="G4" s="5">
        <f>E4*0.9</f>
        <v>3403.71</v>
      </c>
    </row>
    <row r="5" spans="1:14" ht="30" customHeight="1">
      <c r="A5" s="50"/>
      <c r="B5" s="56" t="s">
        <v>136</v>
      </c>
      <c r="C5" s="57"/>
      <c r="D5" s="58"/>
      <c r="E5" s="11">
        <f>SUM(E6:E7)</f>
        <v>9.984216</v>
      </c>
      <c r="F5" s="44" t="s">
        <v>137</v>
      </c>
      <c r="G5" s="5">
        <f>SUM(G6:G7)</f>
        <v>8.9857944000000014</v>
      </c>
    </row>
    <row r="6" spans="1:14" ht="30" customHeight="1">
      <c r="A6" s="50"/>
      <c r="B6" s="52" t="s">
        <v>75</v>
      </c>
      <c r="C6" s="52"/>
      <c r="D6" s="52"/>
      <c r="E6" s="11">
        <f>E4*12/10000</f>
        <v>4.5382800000000003</v>
      </c>
      <c r="F6" s="45" t="s">
        <v>76</v>
      </c>
      <c r="G6" s="5">
        <f>G4*12/10000</f>
        <v>4.0844520000000006</v>
      </c>
      <c r="H6" s="37" t="s">
        <v>108</v>
      </c>
    </row>
    <row r="7" spans="1:14" ht="30" customHeight="1">
      <c r="A7" s="50"/>
      <c r="B7" s="52" t="s">
        <v>107</v>
      </c>
      <c r="C7" s="52"/>
      <c r="D7" s="52"/>
      <c r="E7" s="11">
        <f>E8*12/10000</f>
        <v>5.4459360000000006</v>
      </c>
      <c r="F7" s="45" t="s">
        <v>132</v>
      </c>
      <c r="G7" s="5">
        <f>G8*12/10000</f>
        <v>4.9013424000000008</v>
      </c>
      <c r="H7" s="13">
        <f>E6+E7</f>
        <v>9.984216</v>
      </c>
      <c r="I7" s="13">
        <f>H7*0.9</f>
        <v>8.9857943999999996</v>
      </c>
    </row>
    <row r="8" spans="1:14" ht="30" customHeight="1">
      <c r="A8" s="50"/>
      <c r="B8" s="52" t="s">
        <v>92</v>
      </c>
      <c r="C8" s="52" t="s">
        <v>113</v>
      </c>
      <c r="D8" s="52"/>
      <c r="E8" s="11">
        <f>SUM(E9:E10)</f>
        <v>4538.2800000000007</v>
      </c>
      <c r="F8" s="44" t="s">
        <v>133</v>
      </c>
      <c r="G8" s="5">
        <f>E8*0.9</f>
        <v>4084.4520000000007</v>
      </c>
    </row>
    <row r="9" spans="1:14" ht="30" customHeight="1">
      <c r="A9" s="50"/>
      <c r="B9" s="52"/>
      <c r="C9" s="35" t="s">
        <v>104</v>
      </c>
      <c r="D9" s="11">
        <v>804.31</v>
      </c>
      <c r="E9" s="11">
        <f>E4*1*60%</f>
        <v>2269.14</v>
      </c>
      <c r="F9" s="14"/>
      <c r="G9" s="3"/>
    </row>
    <row r="10" spans="1:14" ht="42" customHeight="1">
      <c r="A10" s="50"/>
      <c r="B10" s="52"/>
      <c r="C10" s="35" t="s">
        <v>105</v>
      </c>
      <c r="D10" s="11">
        <v>276.75</v>
      </c>
      <c r="E10" s="11">
        <f>E4*1.5*40%</f>
        <v>2269.1400000000003</v>
      </c>
      <c r="F10" s="14"/>
      <c r="G10" s="3"/>
      <c r="J10" s="13"/>
    </row>
    <row r="11" spans="1:14" ht="30" customHeight="1">
      <c r="A11" s="51"/>
      <c r="B11" s="52" t="s">
        <v>78</v>
      </c>
      <c r="C11" s="52"/>
      <c r="D11" s="52"/>
      <c r="E11" s="12">
        <f>E4+E8</f>
        <v>8320.18</v>
      </c>
      <c r="F11" s="31" t="s">
        <v>79</v>
      </c>
      <c r="G11" s="5">
        <f>G4+G8</f>
        <v>7488.1620000000003</v>
      </c>
    </row>
    <row r="12" spans="1:14" ht="26.25" customHeight="1">
      <c r="A12" s="2" t="s">
        <v>102</v>
      </c>
      <c r="B12" s="2" t="s">
        <v>106</v>
      </c>
    </row>
    <row r="13" spans="1:14" ht="23.25" customHeight="1">
      <c r="A13" s="2" t="s">
        <v>100</v>
      </c>
    </row>
    <row r="14" spans="1:14" ht="36.75" customHeight="1">
      <c r="A14" s="19" t="s">
        <v>97</v>
      </c>
    </row>
    <row r="15" spans="1:14" ht="36.75" hidden="1" customHeight="1">
      <c r="A15" s="15" t="s">
        <v>36</v>
      </c>
      <c r="B15" s="15" t="s">
        <v>37</v>
      </c>
      <c r="C15" s="15" t="s">
        <v>38</v>
      </c>
      <c r="D15" s="15" t="s">
        <v>39</v>
      </c>
      <c r="E15" s="15" t="s">
        <v>40</v>
      </c>
    </row>
    <row r="16" spans="1:14" ht="36.75" hidden="1" customHeight="1">
      <c r="A16" s="15">
        <v>12.25</v>
      </c>
      <c r="B16" s="15">
        <v>-61.5</v>
      </c>
      <c r="C16" s="15">
        <v>-52.26</v>
      </c>
      <c r="D16" s="15">
        <f>SUM(A16:C16)</f>
        <v>-101.50999999999999</v>
      </c>
      <c r="E16" s="16">
        <f>D16/3</f>
        <v>-33.836666666666666</v>
      </c>
    </row>
    <row r="17" spans="1:3" ht="36.75" hidden="1" customHeight="1"/>
    <row r="18" spans="1:3" ht="36.75" hidden="1" customHeight="1"/>
    <row r="19" spans="1:3" ht="36.75" hidden="1" customHeight="1">
      <c r="A19" s="59" t="s">
        <v>80</v>
      </c>
      <c r="B19" s="3" t="s">
        <v>81</v>
      </c>
      <c r="C19" s="3" t="s">
        <v>82</v>
      </c>
    </row>
    <row r="20" spans="1:3" ht="36.75" hidden="1" customHeight="1">
      <c r="A20" s="59"/>
      <c r="B20" s="3" t="s">
        <v>83</v>
      </c>
      <c r="C20" s="3" t="s">
        <v>84</v>
      </c>
    </row>
    <row r="21" spans="1:3" ht="36.75" hidden="1" customHeight="1">
      <c r="A21" s="59"/>
      <c r="B21" s="3" t="s">
        <v>85</v>
      </c>
      <c r="C21" s="3" t="s">
        <v>86</v>
      </c>
    </row>
    <row r="22" spans="1:3" ht="36.75" hidden="1" customHeight="1">
      <c r="A22" s="59"/>
      <c r="B22" s="3" t="s">
        <v>87</v>
      </c>
      <c r="C22" s="3" t="s">
        <v>88</v>
      </c>
    </row>
    <row r="23" spans="1:3" ht="36.75" hidden="1" customHeight="1"/>
    <row r="24" spans="1:3" ht="36.75" customHeight="1">
      <c r="A24" s="19" t="s">
        <v>99</v>
      </c>
    </row>
  </sheetData>
  <mergeCells count="14">
    <mergeCell ref="A19:A22"/>
    <mergeCell ref="A1:G1"/>
    <mergeCell ref="F2:G2"/>
    <mergeCell ref="A3:A11"/>
    <mergeCell ref="F3:G3"/>
    <mergeCell ref="B8:B10"/>
    <mergeCell ref="C8:D8"/>
    <mergeCell ref="B4:D4"/>
    <mergeCell ref="B6:D6"/>
    <mergeCell ref="B11:D11"/>
    <mergeCell ref="B3:E3"/>
    <mergeCell ref="B2:E2"/>
    <mergeCell ref="B7:D7"/>
    <mergeCell ref="B5:D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F26" sqref="F26"/>
    </sheetView>
  </sheetViews>
  <sheetFormatPr defaultRowHeight="13.5"/>
  <cols>
    <col min="1" max="1" width="15.125" style="2" customWidth="1"/>
    <col min="2" max="2" width="26.125" style="2" customWidth="1"/>
    <col min="3" max="3" width="26.75" style="2" customWidth="1"/>
    <col min="4" max="4" width="14.5" style="2" customWidth="1"/>
    <col min="5" max="5" width="33.75" style="2" customWidth="1"/>
    <col min="6" max="6" width="18.125" style="2" customWidth="1"/>
    <col min="7" max="7" width="15.25" style="2" customWidth="1"/>
    <col min="8" max="8" width="14.875" style="2" hidden="1" customWidth="1"/>
    <col min="9" max="11" width="18.5" style="2" hidden="1" customWidth="1"/>
    <col min="12" max="12" width="12.75" style="2" customWidth="1"/>
    <col min="13" max="16384" width="9" style="2"/>
  </cols>
  <sheetData>
    <row r="1" spans="1:14" ht="26.25" customHeight="1">
      <c r="A1" s="48" t="s">
        <v>116</v>
      </c>
      <c r="B1" s="48"/>
      <c r="C1" s="48"/>
      <c r="D1" s="48"/>
      <c r="E1" s="48"/>
      <c r="F1" s="48"/>
      <c r="G1" s="48"/>
    </row>
    <row r="2" spans="1:14" ht="26.25" customHeight="1">
      <c r="A2" s="10" t="s">
        <v>22</v>
      </c>
      <c r="B2" s="52" t="s">
        <v>20</v>
      </c>
      <c r="C2" s="52"/>
      <c r="D2" s="52"/>
      <c r="E2" s="52"/>
      <c r="F2" s="52" t="s">
        <v>19</v>
      </c>
      <c r="G2" s="52"/>
      <c r="H2" s="8"/>
      <c r="I2" s="8"/>
      <c r="J2" s="8"/>
      <c r="K2" s="8"/>
      <c r="L2" s="8"/>
      <c r="M2" s="9"/>
      <c r="N2" s="9"/>
    </row>
    <row r="3" spans="1:14" ht="26.25" customHeight="1">
      <c r="A3" s="49" t="s">
        <v>52</v>
      </c>
      <c r="B3" s="56" t="s">
        <v>62</v>
      </c>
      <c r="C3" s="57"/>
      <c r="D3" s="57"/>
      <c r="E3" s="58"/>
      <c r="F3" s="59"/>
      <c r="G3" s="59"/>
    </row>
    <row r="4" spans="1:14" ht="26.25" customHeight="1">
      <c r="A4" s="50"/>
      <c r="B4" s="56" t="s">
        <v>27</v>
      </c>
      <c r="C4" s="57"/>
      <c r="D4" s="58"/>
      <c r="E4" s="11">
        <f>3027.2*1.4</f>
        <v>4238.08</v>
      </c>
      <c r="F4" s="31" t="s">
        <v>23</v>
      </c>
      <c r="G4" s="5">
        <f>E4*0.9</f>
        <v>3814.2719999999999</v>
      </c>
    </row>
    <row r="5" spans="1:14" ht="26.25" customHeight="1">
      <c r="A5" s="50"/>
      <c r="B5" s="56" t="s">
        <v>74</v>
      </c>
      <c r="C5" s="57"/>
      <c r="D5" s="58"/>
      <c r="E5" s="11">
        <f>E4*12/10000</f>
        <v>5.0856959999999996</v>
      </c>
      <c r="F5" s="32" t="s">
        <v>76</v>
      </c>
      <c r="G5" s="5">
        <f>G4*12/10000</f>
        <v>4.5771263999999992</v>
      </c>
      <c r="H5" s="36" t="s">
        <v>111</v>
      </c>
    </row>
    <row r="6" spans="1:14" ht="26.25" customHeight="1">
      <c r="A6" s="50"/>
      <c r="B6" s="52" t="s">
        <v>107</v>
      </c>
      <c r="C6" s="52"/>
      <c r="D6" s="52"/>
      <c r="E6" s="11">
        <f>E7*12/10000</f>
        <v>5.8994073600000005</v>
      </c>
      <c r="F6" s="34"/>
      <c r="G6" s="5"/>
      <c r="H6" s="43">
        <f>E5+E6</f>
        <v>10.98510336</v>
      </c>
    </row>
    <row r="7" spans="1:14" ht="26.25" customHeight="1">
      <c r="A7" s="50"/>
      <c r="B7" s="64" t="s">
        <v>92</v>
      </c>
      <c r="C7" s="52" t="s">
        <v>113</v>
      </c>
      <c r="D7" s="52"/>
      <c r="E7" s="11">
        <f>SUM(E8:E10)</f>
        <v>4916.1728000000003</v>
      </c>
      <c r="F7" s="31" t="s">
        <v>21</v>
      </c>
      <c r="G7" s="5">
        <f>E7*0.9</f>
        <v>4424.5555200000008</v>
      </c>
      <c r="H7" s="13"/>
    </row>
    <row r="8" spans="1:14" ht="26.25" customHeight="1">
      <c r="A8" s="50"/>
      <c r="B8" s="50"/>
      <c r="C8" s="38" t="s">
        <v>126</v>
      </c>
      <c r="D8" s="42">
        <v>245448</v>
      </c>
      <c r="E8" s="11">
        <f>E4*1.5*20%</f>
        <v>1271.424</v>
      </c>
      <c r="F8" s="14"/>
      <c r="G8" s="3"/>
      <c r="H8" s="41"/>
    </row>
    <row r="9" spans="1:14" ht="26.25" customHeight="1">
      <c r="A9" s="50"/>
      <c r="B9" s="50"/>
      <c r="C9" s="38" t="s">
        <v>127</v>
      </c>
      <c r="D9" s="42">
        <v>24713.176865999998</v>
      </c>
      <c r="E9" s="11">
        <f>E4*1.2*30%</f>
        <v>1525.7087999999999</v>
      </c>
      <c r="F9" s="14"/>
      <c r="G9" s="3"/>
      <c r="H9" s="2" t="s">
        <v>124</v>
      </c>
      <c r="I9" s="13">
        <f>SUM(I10:I13)</f>
        <v>224619.83601599996</v>
      </c>
    </row>
    <row r="10" spans="1:14" ht="26.25" customHeight="1">
      <c r="A10" s="50"/>
      <c r="B10" s="51"/>
      <c r="C10" s="14" t="s">
        <v>42</v>
      </c>
      <c r="D10" s="42">
        <v>32646.740635000002</v>
      </c>
      <c r="E10" s="11">
        <f>E4*1*50%</f>
        <v>2119.04</v>
      </c>
      <c r="F10" s="14"/>
      <c r="G10" s="3"/>
      <c r="H10" s="2" t="s">
        <v>122</v>
      </c>
      <c r="I10" s="2">
        <v>32646.740635000002</v>
      </c>
      <c r="J10" s="2" t="s">
        <v>125</v>
      </c>
      <c r="K10" s="40">
        <v>24713.176865999998</v>
      </c>
    </row>
    <row r="11" spans="1:14" ht="26.25" customHeight="1">
      <c r="A11" s="51"/>
      <c r="B11" s="52" t="s">
        <v>60</v>
      </c>
      <c r="C11" s="52"/>
      <c r="D11" s="52"/>
      <c r="E11" s="12">
        <f>E4+E7</f>
        <v>9154.2528000000002</v>
      </c>
      <c r="F11" s="31" t="s">
        <v>79</v>
      </c>
      <c r="G11" s="5">
        <f>G7+G4</f>
        <v>8238.8275200000007</v>
      </c>
      <c r="H11" s="2" t="s">
        <v>121</v>
      </c>
      <c r="I11" s="2">
        <v>162224.09279499998</v>
      </c>
    </row>
    <row r="12" spans="1:14" ht="26.25" customHeight="1">
      <c r="C12" s="2" t="s">
        <v>31</v>
      </c>
      <c r="D12" s="2" t="s">
        <v>57</v>
      </c>
      <c r="H12" s="2" t="s">
        <v>123</v>
      </c>
      <c r="I12" s="2">
        <v>3239</v>
      </c>
    </row>
    <row r="13" spans="1:14" ht="26.25" customHeight="1">
      <c r="A13" s="63" t="s">
        <v>101</v>
      </c>
      <c r="B13" s="63"/>
      <c r="C13" s="63"/>
      <c r="D13" s="63"/>
      <c r="E13" s="63"/>
      <c r="I13" s="39">
        <v>26510.002586000002</v>
      </c>
    </row>
    <row r="14" spans="1:14" ht="26.25" customHeight="1">
      <c r="A14" s="19" t="s">
        <v>97</v>
      </c>
    </row>
    <row r="15" spans="1:14" ht="26.25" customHeight="1">
      <c r="A15" s="15" t="s">
        <v>36</v>
      </c>
      <c r="B15" s="15" t="s">
        <v>37</v>
      </c>
      <c r="C15" s="15" t="s">
        <v>38</v>
      </c>
      <c r="D15" s="15" t="s">
        <v>39</v>
      </c>
      <c r="E15" s="15" t="s">
        <v>40</v>
      </c>
      <c r="F15" s="15"/>
      <c r="G15" s="15"/>
    </row>
    <row r="16" spans="1:14" ht="26.25" customHeight="1">
      <c r="A16" s="15">
        <v>137.74</v>
      </c>
      <c r="B16" s="15">
        <v>61.65</v>
      </c>
      <c r="C16" s="15">
        <v>-2.9</v>
      </c>
      <c r="D16" s="15">
        <f>SUM(A16:C16)</f>
        <v>196.49</v>
      </c>
      <c r="E16" s="33">
        <f>D16/3</f>
        <v>65.49666666666667</v>
      </c>
      <c r="G16" s="17"/>
    </row>
    <row r="17" spans="1:5" ht="26.25" hidden="1" customHeight="1">
      <c r="A17" s="15"/>
      <c r="B17" s="15"/>
      <c r="C17" s="15"/>
      <c r="D17" s="15"/>
      <c r="E17" s="15"/>
    </row>
    <row r="18" spans="1:5" ht="26.25" customHeight="1">
      <c r="A18" s="19" t="s">
        <v>99</v>
      </c>
    </row>
  </sheetData>
  <mergeCells count="13">
    <mergeCell ref="A13:E13"/>
    <mergeCell ref="A1:G1"/>
    <mergeCell ref="B2:E2"/>
    <mergeCell ref="F2:G2"/>
    <mergeCell ref="A3:A11"/>
    <mergeCell ref="B3:E3"/>
    <mergeCell ref="F3:G3"/>
    <mergeCell ref="B5:D5"/>
    <mergeCell ref="B7:B10"/>
    <mergeCell ref="B11:D11"/>
    <mergeCell ref="B4:D4"/>
    <mergeCell ref="C7:D7"/>
    <mergeCell ref="B6:D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C15" sqref="C15"/>
    </sheetView>
  </sheetViews>
  <sheetFormatPr defaultRowHeight="13.5"/>
  <cols>
    <col min="1" max="1" width="19.75" style="2" customWidth="1"/>
    <col min="2" max="2" width="28.5" style="2" customWidth="1"/>
    <col min="3" max="3" width="26.75" style="2" customWidth="1"/>
    <col min="4" max="4" width="11.75" style="2" customWidth="1"/>
    <col min="5" max="5" width="24.625" style="2" customWidth="1"/>
    <col min="6" max="6" width="20.125" style="2" hidden="1" customWidth="1"/>
    <col min="7" max="7" width="10.375" style="2" hidden="1" customWidth="1"/>
    <col min="8" max="8" width="14.875" style="2" hidden="1" customWidth="1"/>
    <col min="9" max="9" width="18.5" style="2" hidden="1" customWidth="1"/>
    <col min="10" max="10" width="9.375" style="2" hidden="1" customWidth="1"/>
    <col min="11" max="11" width="18.5" style="2" hidden="1" customWidth="1"/>
    <col min="12" max="12" width="12.75" style="2" customWidth="1"/>
    <col min="13" max="16384" width="9" style="2"/>
  </cols>
  <sheetData>
    <row r="1" spans="1:14" ht="42" customHeight="1">
      <c r="A1" s="48" t="s">
        <v>117</v>
      </c>
      <c r="B1" s="48"/>
      <c r="C1" s="48"/>
      <c r="D1" s="48"/>
      <c r="E1" s="48"/>
      <c r="F1" s="48"/>
      <c r="G1" s="48"/>
    </row>
    <row r="2" spans="1:14" ht="26.25" customHeight="1">
      <c r="A2" s="10" t="s">
        <v>22</v>
      </c>
      <c r="B2" s="52" t="s">
        <v>20</v>
      </c>
      <c r="C2" s="52"/>
      <c r="D2" s="52"/>
      <c r="E2" s="52"/>
      <c r="F2" s="52" t="s">
        <v>19</v>
      </c>
      <c r="G2" s="52"/>
      <c r="H2" s="8"/>
      <c r="I2" s="8"/>
      <c r="J2" s="8"/>
      <c r="K2" s="8"/>
      <c r="L2" s="8"/>
      <c r="M2" s="9"/>
      <c r="N2" s="9"/>
    </row>
    <row r="3" spans="1:14" ht="26.25" customHeight="1">
      <c r="A3" s="52" t="s">
        <v>94</v>
      </c>
      <c r="B3" s="59" t="s">
        <v>73</v>
      </c>
      <c r="C3" s="59"/>
      <c r="D3" s="59"/>
      <c r="E3" s="59"/>
      <c r="F3" s="59"/>
      <c r="G3" s="59"/>
      <c r="H3" s="27" t="s">
        <v>66</v>
      </c>
      <c r="I3" s="29">
        <v>3200</v>
      </c>
    </row>
    <row r="4" spans="1:14" ht="26.25" customHeight="1">
      <c r="A4" s="52"/>
      <c r="B4" s="52" t="s">
        <v>27</v>
      </c>
      <c r="C4" s="52"/>
      <c r="D4" s="52"/>
      <c r="E4" s="11">
        <f>2209.09*1.4</f>
        <v>3092.7260000000001</v>
      </c>
      <c r="F4" s="31" t="s">
        <v>23</v>
      </c>
      <c r="G4" s="5">
        <f>E4*0.9</f>
        <v>2783.4534000000003</v>
      </c>
      <c r="H4" s="27" t="s">
        <v>67</v>
      </c>
      <c r="I4" s="29">
        <v>56.02</v>
      </c>
      <c r="J4" s="65" t="s">
        <v>111</v>
      </c>
    </row>
    <row r="5" spans="1:14" ht="26.25" customHeight="1">
      <c r="A5" s="52"/>
      <c r="B5" s="52" t="s">
        <v>74</v>
      </c>
      <c r="C5" s="52"/>
      <c r="D5" s="52"/>
      <c r="E5" s="11">
        <f>E4*12/10000</f>
        <v>3.7112712000000001</v>
      </c>
      <c r="F5" s="32" t="s">
        <v>76</v>
      </c>
      <c r="G5" s="5">
        <f>G4*12/10000</f>
        <v>3.3401440800000004</v>
      </c>
      <c r="H5" s="27" t="s">
        <v>68</v>
      </c>
      <c r="I5" s="29">
        <v>256</v>
      </c>
      <c r="J5" s="65"/>
    </row>
    <row r="6" spans="1:14" ht="26.25" customHeight="1">
      <c r="A6" s="52"/>
      <c r="B6" s="52" t="s">
        <v>107</v>
      </c>
      <c r="C6" s="52"/>
      <c r="D6" s="52"/>
      <c r="E6" s="11">
        <f>E7*12/10000</f>
        <v>0.74225424000000007</v>
      </c>
      <c r="F6" s="34"/>
      <c r="G6" s="5"/>
      <c r="H6" s="27"/>
      <c r="I6" s="29"/>
      <c r="J6" s="13">
        <f>E5+E6</f>
        <v>4.4535254399999999</v>
      </c>
    </row>
    <row r="7" spans="1:14" ht="26.25" customHeight="1">
      <c r="A7" s="52"/>
      <c r="B7" s="52" t="s">
        <v>92</v>
      </c>
      <c r="C7" s="52" t="s">
        <v>113</v>
      </c>
      <c r="D7" s="52"/>
      <c r="E7" s="11">
        <f>SUM(E8:E10)</f>
        <v>618.54520000000002</v>
      </c>
      <c r="F7" s="31" t="s">
        <v>77</v>
      </c>
      <c r="G7" s="3">
        <f>E7*0.9</f>
        <v>556.69068000000004</v>
      </c>
      <c r="H7" s="28" t="s">
        <v>69</v>
      </c>
      <c r="I7" s="29">
        <v>16</v>
      </c>
    </row>
    <row r="8" spans="1:14" ht="26.25" customHeight="1">
      <c r="A8" s="52"/>
      <c r="B8" s="52"/>
      <c r="C8" s="20" t="s">
        <v>44</v>
      </c>
      <c r="D8" s="20">
        <v>24234</v>
      </c>
      <c r="E8" s="11">
        <f>E4*0.6*20%</f>
        <v>371.12712000000005</v>
      </c>
      <c r="F8" s="14"/>
      <c r="G8" s="3"/>
      <c r="H8" s="28" t="s">
        <v>70</v>
      </c>
      <c r="I8" s="30">
        <f>140/12</f>
        <v>11.666666666666666</v>
      </c>
    </row>
    <row r="9" spans="1:14" ht="26.25" customHeight="1">
      <c r="A9" s="52"/>
      <c r="B9" s="52"/>
      <c r="C9" s="20" t="s">
        <v>43</v>
      </c>
      <c r="D9" s="18">
        <v>852.49</v>
      </c>
      <c r="E9" s="11">
        <f>E4*0.1*30%</f>
        <v>92.781779999999998</v>
      </c>
      <c r="F9" s="14"/>
      <c r="G9" s="3"/>
      <c r="H9" s="28" t="s">
        <v>71</v>
      </c>
      <c r="I9" s="30">
        <f>80/12</f>
        <v>6.666666666666667</v>
      </c>
    </row>
    <row r="10" spans="1:14" ht="26.25" customHeight="1">
      <c r="A10" s="52"/>
      <c r="B10" s="52"/>
      <c r="C10" s="35" t="s">
        <v>112</v>
      </c>
      <c r="D10" s="18">
        <v>0</v>
      </c>
      <c r="E10" s="11">
        <f>E4*0.1*50%</f>
        <v>154.63630000000001</v>
      </c>
      <c r="F10" s="14"/>
      <c r="G10" s="3"/>
      <c r="H10" s="28" t="s">
        <v>72</v>
      </c>
      <c r="I10" s="30">
        <f>SUM(I3:I9)</f>
        <v>3546.353333333333</v>
      </c>
    </row>
    <row r="11" spans="1:14" ht="26.25" customHeight="1">
      <c r="A11" s="52"/>
      <c r="B11" s="52" t="s">
        <v>60</v>
      </c>
      <c r="C11" s="52"/>
      <c r="D11" s="52"/>
      <c r="E11" s="12">
        <f>E7+E4</f>
        <v>3711.2712000000001</v>
      </c>
      <c r="F11" s="31" t="s">
        <v>79</v>
      </c>
      <c r="G11" s="5">
        <f>G7+G4</f>
        <v>3340.1440800000005</v>
      </c>
    </row>
    <row r="12" spans="1:14" ht="26.25" customHeight="1">
      <c r="A12" s="24"/>
      <c r="E12" s="25"/>
      <c r="F12" s="24"/>
      <c r="G12" s="26"/>
    </row>
    <row r="13" spans="1:14" ht="42" customHeight="1">
      <c r="B13" s="2" t="s">
        <v>93</v>
      </c>
      <c r="D13" s="2" t="s">
        <v>56</v>
      </c>
    </row>
    <row r="14" spans="1:14" ht="36.75" customHeight="1">
      <c r="A14" s="19" t="s">
        <v>98</v>
      </c>
      <c r="C14" s="9"/>
    </row>
    <row r="15" spans="1:14" ht="36.75" customHeight="1">
      <c r="A15" s="19" t="s">
        <v>97</v>
      </c>
      <c r="C15" s="9"/>
    </row>
    <row r="16" spans="1:14" ht="18.75" hidden="1" customHeight="1">
      <c r="A16" s="15" t="s">
        <v>36</v>
      </c>
      <c r="B16" s="15" t="s">
        <v>37</v>
      </c>
      <c r="C16" s="15" t="s">
        <v>38</v>
      </c>
      <c r="D16" s="15" t="s">
        <v>39</v>
      </c>
      <c r="E16" s="15" t="s">
        <v>40</v>
      </c>
    </row>
    <row r="17" spans="1:5" ht="18.75" hidden="1" customHeight="1">
      <c r="A17" s="15">
        <v>-87.09</v>
      </c>
      <c r="B17" s="15">
        <v>-84.08</v>
      </c>
      <c r="C17" s="15">
        <v>-41.3</v>
      </c>
      <c r="D17" s="15">
        <f>SUM(A17:C17)</f>
        <v>-212.47000000000003</v>
      </c>
      <c r="E17" s="16">
        <f>D17/3</f>
        <v>-70.823333333333338</v>
      </c>
    </row>
    <row r="18" spans="1:5" ht="18.75" hidden="1" customHeight="1">
      <c r="A18" s="15"/>
      <c r="B18" s="15"/>
      <c r="C18" s="15"/>
      <c r="D18" s="15"/>
      <c r="E18" s="15"/>
    </row>
    <row r="19" spans="1:5" ht="27.75" customHeight="1">
      <c r="A19" s="19" t="s">
        <v>99</v>
      </c>
    </row>
    <row r="26" spans="1:5">
      <c r="D26" s="2" t="s">
        <v>59</v>
      </c>
    </row>
  </sheetData>
  <mergeCells count="13">
    <mergeCell ref="J4:J5"/>
    <mergeCell ref="B11:D11"/>
    <mergeCell ref="A1:G1"/>
    <mergeCell ref="B2:E2"/>
    <mergeCell ref="F2:G2"/>
    <mergeCell ref="A3:A11"/>
    <mergeCell ref="B3:E3"/>
    <mergeCell ref="F3:G3"/>
    <mergeCell ref="B7:B10"/>
    <mergeCell ref="C7:D7"/>
    <mergeCell ref="B4:D4"/>
    <mergeCell ref="B5:D5"/>
    <mergeCell ref="B6:D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A13" sqref="A13"/>
    </sheetView>
  </sheetViews>
  <sheetFormatPr defaultRowHeight="13.5"/>
  <cols>
    <col min="1" max="1" width="25.875" style="2" customWidth="1"/>
    <col min="2" max="2" width="20.25" style="2" customWidth="1"/>
    <col min="3" max="3" width="26.75" style="2" customWidth="1"/>
    <col min="4" max="4" width="17.625" style="2" customWidth="1"/>
    <col min="5" max="5" width="36.125" style="2" customWidth="1"/>
    <col min="6" max="6" width="16.5" style="2" hidden="1" customWidth="1"/>
    <col min="7" max="7" width="15.125" style="2" hidden="1" customWidth="1"/>
    <col min="8" max="8" width="15.625" style="2" hidden="1" customWidth="1"/>
    <col min="9" max="9" width="18.5" style="2" hidden="1" customWidth="1"/>
    <col min="10" max="11" width="18.5" style="2" customWidth="1"/>
    <col min="12" max="12" width="12.75" style="2" customWidth="1"/>
    <col min="13" max="16384" width="9" style="2"/>
  </cols>
  <sheetData>
    <row r="1" spans="1:14" ht="29.25" customHeight="1">
      <c r="A1" s="48" t="s">
        <v>118</v>
      </c>
      <c r="B1" s="48"/>
      <c r="C1" s="48"/>
      <c r="D1" s="48"/>
      <c r="E1" s="48"/>
      <c r="F1" s="48"/>
      <c r="G1" s="48"/>
    </row>
    <row r="2" spans="1:14" ht="32.25" customHeight="1">
      <c r="A2" s="10" t="s">
        <v>22</v>
      </c>
      <c r="B2" s="52" t="s">
        <v>20</v>
      </c>
      <c r="C2" s="52"/>
      <c r="D2" s="52"/>
      <c r="E2" s="52"/>
      <c r="F2" s="52" t="s">
        <v>19</v>
      </c>
      <c r="G2" s="52"/>
      <c r="H2" s="8"/>
      <c r="I2" s="8"/>
      <c r="J2" s="8"/>
      <c r="K2" s="8"/>
      <c r="L2" s="8"/>
      <c r="M2" s="9"/>
      <c r="N2" s="9"/>
    </row>
    <row r="3" spans="1:14" ht="32.25" customHeight="1">
      <c r="A3" s="49" t="s">
        <v>89</v>
      </c>
      <c r="B3" s="59" t="s">
        <v>61</v>
      </c>
      <c r="C3" s="59"/>
      <c r="D3" s="59"/>
      <c r="E3" s="59"/>
      <c r="F3" s="59"/>
      <c r="G3" s="59"/>
    </row>
    <row r="4" spans="1:14" ht="32.25" customHeight="1">
      <c r="A4" s="50"/>
      <c r="B4" s="56" t="s">
        <v>90</v>
      </c>
      <c r="C4" s="57"/>
      <c r="D4" s="58"/>
      <c r="E4" s="11">
        <f>5456.63*1.1</f>
        <v>6002.2930000000006</v>
      </c>
      <c r="F4" s="31" t="s">
        <v>23</v>
      </c>
      <c r="G4" s="5">
        <f>E4*0.9</f>
        <v>5402.0637000000006</v>
      </c>
      <c r="H4" s="66" t="s">
        <v>111</v>
      </c>
    </row>
    <row r="5" spans="1:14" ht="32.25" customHeight="1">
      <c r="A5" s="50"/>
      <c r="B5" s="56" t="s">
        <v>74</v>
      </c>
      <c r="C5" s="57"/>
      <c r="D5" s="58"/>
      <c r="E5" s="11">
        <f>E4*12/10000</f>
        <v>7.2027516</v>
      </c>
      <c r="F5" s="32" t="s">
        <v>76</v>
      </c>
      <c r="G5" s="5">
        <f>G4*12/10000</f>
        <v>6.482476440000001</v>
      </c>
      <c r="H5" s="66"/>
    </row>
    <row r="6" spans="1:14" ht="32.25" customHeight="1">
      <c r="A6" s="50"/>
      <c r="B6" s="52" t="s">
        <v>107</v>
      </c>
      <c r="C6" s="52"/>
      <c r="D6" s="52"/>
      <c r="E6" s="11">
        <f>E7*12/10000</f>
        <v>1.152440256</v>
      </c>
      <c r="F6" s="34"/>
      <c r="G6" s="5"/>
      <c r="H6" s="13">
        <f>E5+E6</f>
        <v>8.3551918559999994</v>
      </c>
    </row>
    <row r="7" spans="1:14" ht="32.25" customHeight="1">
      <c r="A7" s="50"/>
      <c r="B7" s="49" t="s">
        <v>92</v>
      </c>
      <c r="C7" s="52" t="s">
        <v>113</v>
      </c>
      <c r="D7" s="52"/>
      <c r="E7" s="11">
        <f>SUM(E8:E10)</f>
        <v>960.36688000000004</v>
      </c>
      <c r="F7" s="31" t="s">
        <v>77</v>
      </c>
      <c r="G7" s="5">
        <f>E7*0.9</f>
        <v>864.33019200000001</v>
      </c>
    </row>
    <row r="8" spans="1:14" ht="32.25" customHeight="1">
      <c r="A8" s="50"/>
      <c r="B8" s="50"/>
      <c r="C8" s="14" t="s">
        <v>45</v>
      </c>
      <c r="D8" s="14">
        <v>5026.83</v>
      </c>
      <c r="E8" s="11">
        <f>E4*0.4*20%</f>
        <v>480.18344000000008</v>
      </c>
      <c r="F8" s="14"/>
      <c r="G8" s="3"/>
    </row>
    <row r="9" spans="1:14" ht="32.25" customHeight="1">
      <c r="A9" s="50"/>
      <c r="B9" s="50"/>
      <c r="C9" s="14" t="s">
        <v>43</v>
      </c>
      <c r="D9" s="18">
        <v>855.73</v>
      </c>
      <c r="E9" s="11">
        <f>E4*0.1*30%</f>
        <v>180.06879000000001</v>
      </c>
      <c r="F9" s="14"/>
      <c r="G9" s="3"/>
    </row>
    <row r="10" spans="1:14" ht="32.25" customHeight="1">
      <c r="A10" s="50"/>
      <c r="B10" s="51"/>
      <c r="C10" s="14" t="s">
        <v>46</v>
      </c>
      <c r="D10" s="18">
        <v>428</v>
      </c>
      <c r="E10" s="11">
        <f>E4*0.1*50%</f>
        <v>300.11465000000004</v>
      </c>
      <c r="F10" s="14"/>
      <c r="G10" s="3"/>
    </row>
    <row r="11" spans="1:14" ht="32.25" customHeight="1">
      <c r="A11" s="51"/>
      <c r="B11" s="52" t="s">
        <v>60</v>
      </c>
      <c r="C11" s="52"/>
      <c r="D11" s="52"/>
      <c r="E11" s="12">
        <f>E4+E7</f>
        <v>6962.6598800000011</v>
      </c>
      <c r="F11" s="31" t="s">
        <v>79</v>
      </c>
      <c r="G11" s="5">
        <f>G7+G4</f>
        <v>6266.393892000001</v>
      </c>
    </row>
    <row r="12" spans="1:14" ht="31.5" customHeight="1">
      <c r="A12" s="2" t="s">
        <v>33</v>
      </c>
      <c r="C12" s="2" t="s">
        <v>53</v>
      </c>
    </row>
    <row r="13" spans="1:14" ht="31.5" customHeight="1">
      <c r="A13" s="19" t="s">
        <v>131</v>
      </c>
    </row>
    <row r="14" spans="1:14" ht="31.5" customHeight="1">
      <c r="A14" s="19" t="s">
        <v>97</v>
      </c>
    </row>
    <row r="15" spans="1:14" ht="20.25" hidden="1" customHeight="1">
      <c r="A15" s="15" t="s">
        <v>36</v>
      </c>
      <c r="B15" s="15" t="s">
        <v>37</v>
      </c>
      <c r="C15" s="15" t="s">
        <v>38</v>
      </c>
      <c r="D15" s="15" t="s">
        <v>39</v>
      </c>
      <c r="E15" s="15" t="s">
        <v>40</v>
      </c>
    </row>
    <row r="16" spans="1:14" ht="31.5" hidden="1" customHeight="1">
      <c r="A16" s="15">
        <v>-49.29</v>
      </c>
      <c r="B16" s="15">
        <v>-147.58000000000001</v>
      </c>
      <c r="C16" s="15">
        <v>-56.12</v>
      </c>
      <c r="D16" s="15">
        <f>SUM(A16:C16)</f>
        <v>-252.99</v>
      </c>
      <c r="E16" s="15">
        <f>D16/3</f>
        <v>-84.33</v>
      </c>
    </row>
    <row r="17" spans="1:1" ht="34.5" customHeight="1">
      <c r="A17" s="19" t="s">
        <v>99</v>
      </c>
    </row>
  </sheetData>
  <mergeCells count="13">
    <mergeCell ref="H4:H5"/>
    <mergeCell ref="A1:G1"/>
    <mergeCell ref="B2:E2"/>
    <mergeCell ref="F2:G2"/>
    <mergeCell ref="A3:A11"/>
    <mergeCell ref="B3:E3"/>
    <mergeCell ref="F3:G3"/>
    <mergeCell ref="B4:D4"/>
    <mergeCell ref="B5:D5"/>
    <mergeCell ref="B7:B10"/>
    <mergeCell ref="C7:D7"/>
    <mergeCell ref="B11:D11"/>
    <mergeCell ref="B6:D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H1" sqref="H1:I1048576"/>
    </sheetView>
  </sheetViews>
  <sheetFormatPr defaultRowHeight="13.5"/>
  <cols>
    <col min="1" max="1" width="27" style="2" customWidth="1"/>
    <col min="2" max="2" width="27.625" style="2" customWidth="1"/>
    <col min="3" max="3" width="26.75" style="2" customWidth="1"/>
    <col min="4" max="4" width="12.25" style="2" customWidth="1"/>
    <col min="5" max="5" width="17.875" style="2" customWidth="1"/>
    <col min="6" max="6" width="16.25" style="2" hidden="1" customWidth="1"/>
    <col min="7" max="7" width="16.125" style="2" hidden="1" customWidth="1"/>
    <col min="8" max="8" width="14.875" style="2" hidden="1" customWidth="1"/>
    <col min="9" max="9" width="18.5" style="2" hidden="1" customWidth="1"/>
    <col min="10" max="11" width="18.5" style="2" customWidth="1"/>
    <col min="12" max="12" width="12.75" style="2" customWidth="1"/>
    <col min="13" max="16384" width="9" style="2"/>
  </cols>
  <sheetData>
    <row r="1" spans="1:14" ht="42" customHeight="1">
      <c r="A1" s="48" t="s">
        <v>119</v>
      </c>
      <c r="B1" s="48"/>
      <c r="C1" s="48"/>
      <c r="D1" s="48"/>
      <c r="E1" s="48"/>
      <c r="F1" s="48"/>
      <c r="G1" s="48"/>
    </row>
    <row r="2" spans="1:14" ht="33" customHeight="1">
      <c r="A2" s="10" t="s">
        <v>22</v>
      </c>
      <c r="B2" s="52" t="s">
        <v>29</v>
      </c>
      <c r="C2" s="52"/>
      <c r="D2" s="52"/>
      <c r="E2" s="52"/>
      <c r="F2" s="52" t="s">
        <v>19</v>
      </c>
      <c r="G2" s="52"/>
      <c r="H2" s="8"/>
      <c r="I2" s="8"/>
      <c r="J2" s="8"/>
      <c r="K2" s="8"/>
      <c r="L2" s="8"/>
      <c r="M2" s="9"/>
      <c r="N2" s="9"/>
    </row>
    <row r="3" spans="1:14" ht="30.75" customHeight="1">
      <c r="A3" s="49" t="s">
        <v>35</v>
      </c>
      <c r="B3" s="59" t="s">
        <v>65</v>
      </c>
      <c r="C3" s="59"/>
      <c r="D3" s="59"/>
      <c r="E3" s="59"/>
      <c r="F3" s="59"/>
      <c r="G3" s="59"/>
    </row>
    <row r="4" spans="1:14" ht="30.75" customHeight="1">
      <c r="A4" s="50"/>
      <c r="B4" s="56" t="s">
        <v>30</v>
      </c>
      <c r="C4" s="57"/>
      <c r="D4" s="58"/>
      <c r="E4" s="11">
        <f>2914.67*1.1</f>
        <v>3206.1370000000002</v>
      </c>
      <c r="F4" s="31" t="s">
        <v>23</v>
      </c>
      <c r="G4" s="5">
        <f>E4*0.9</f>
        <v>2885.5233000000003</v>
      </c>
    </row>
    <row r="5" spans="1:14" ht="30.75" customHeight="1">
      <c r="A5" s="50"/>
      <c r="B5" s="56" t="s">
        <v>74</v>
      </c>
      <c r="C5" s="57"/>
      <c r="D5" s="58"/>
      <c r="E5" s="11">
        <f>E4*12/10000</f>
        <v>3.8473644</v>
      </c>
      <c r="F5" s="32" t="s">
        <v>76</v>
      </c>
      <c r="G5" s="5">
        <f>G4*12/10000</f>
        <v>3.4626279600000003</v>
      </c>
      <c r="H5" s="37" t="s">
        <v>111</v>
      </c>
    </row>
    <row r="6" spans="1:14" ht="30.75" customHeight="1">
      <c r="A6" s="50"/>
      <c r="B6" s="52" t="s">
        <v>107</v>
      </c>
      <c r="C6" s="52"/>
      <c r="D6" s="52"/>
      <c r="E6" s="11">
        <f>E7*12/10000</f>
        <v>0.69252559200000019</v>
      </c>
      <c r="F6" s="34"/>
      <c r="G6" s="5"/>
      <c r="H6" s="13">
        <f>E5+E6</f>
        <v>4.539889992</v>
      </c>
    </row>
    <row r="7" spans="1:14" ht="30.75" customHeight="1">
      <c r="A7" s="50"/>
      <c r="B7" s="49" t="s">
        <v>92</v>
      </c>
      <c r="C7" s="52" t="s">
        <v>113</v>
      </c>
      <c r="D7" s="52"/>
      <c r="E7" s="11">
        <f>SUM(E8:E10)</f>
        <v>577.10466000000008</v>
      </c>
      <c r="F7" s="31" t="s">
        <v>77</v>
      </c>
      <c r="G7" s="5">
        <f>E7*0.9</f>
        <v>519.39419400000008</v>
      </c>
    </row>
    <row r="8" spans="1:14" ht="30.75" customHeight="1">
      <c r="A8" s="50"/>
      <c r="B8" s="50"/>
      <c r="C8" s="14" t="s">
        <v>47</v>
      </c>
      <c r="D8" s="14">
        <v>6</v>
      </c>
      <c r="E8" s="11">
        <f>E4*0.1*20%</f>
        <v>64.122740000000007</v>
      </c>
      <c r="F8" s="14"/>
      <c r="G8" s="3"/>
    </row>
    <row r="9" spans="1:14" ht="30.75" customHeight="1">
      <c r="A9" s="50"/>
      <c r="B9" s="50"/>
      <c r="C9" s="14" t="s">
        <v>48</v>
      </c>
      <c r="D9" s="14">
        <v>185.06</v>
      </c>
      <c r="E9" s="11">
        <f>E4*0.2*30%</f>
        <v>192.36822000000004</v>
      </c>
      <c r="F9" s="14"/>
      <c r="G9" s="3"/>
    </row>
    <row r="10" spans="1:14" ht="30.75" customHeight="1">
      <c r="A10" s="50"/>
      <c r="B10" s="51"/>
      <c r="C10" s="35" t="s">
        <v>110</v>
      </c>
      <c r="D10" s="14">
        <v>224.49</v>
      </c>
      <c r="E10" s="11">
        <f>E4*0.2*50%</f>
        <v>320.61370000000005</v>
      </c>
      <c r="F10" s="14"/>
      <c r="G10" s="3"/>
    </row>
    <row r="11" spans="1:14" ht="30.75" customHeight="1">
      <c r="A11" s="51"/>
      <c r="B11" s="52" t="s">
        <v>60</v>
      </c>
      <c r="C11" s="52"/>
      <c r="D11" s="52"/>
      <c r="E11" s="12">
        <f>E7+E4</f>
        <v>3783.2416600000001</v>
      </c>
      <c r="F11" s="31" t="s">
        <v>79</v>
      </c>
      <c r="G11" s="5">
        <f>G7+G4</f>
        <v>3404.9174940000003</v>
      </c>
    </row>
    <row r="12" spans="1:14" ht="30" customHeight="1">
      <c r="B12" s="13" t="s">
        <v>35</v>
      </c>
      <c r="D12" s="2" t="s">
        <v>55</v>
      </c>
    </row>
    <row r="13" spans="1:14" ht="30" customHeight="1">
      <c r="A13" s="2" t="s">
        <v>96</v>
      </c>
    </row>
    <row r="14" spans="1:14" ht="30" customHeight="1">
      <c r="A14" s="19" t="s">
        <v>97</v>
      </c>
    </row>
    <row r="15" spans="1:14" ht="21" hidden="1" customHeight="1">
      <c r="A15" s="19" t="s">
        <v>36</v>
      </c>
      <c r="B15" s="15" t="s">
        <v>37</v>
      </c>
      <c r="C15" s="15" t="s">
        <v>38</v>
      </c>
      <c r="D15" s="15" t="s">
        <v>39</v>
      </c>
      <c r="E15" s="15" t="s">
        <v>40</v>
      </c>
    </row>
    <row r="16" spans="1:14" ht="30" hidden="1" customHeight="1">
      <c r="A16" s="19">
        <v>13.73</v>
      </c>
      <c r="B16" s="15">
        <v>41.25</v>
      </c>
      <c r="C16" s="15">
        <v>46.99</v>
      </c>
      <c r="D16" s="15">
        <f>SUM(A16:C16)</f>
        <v>101.97</v>
      </c>
      <c r="E16" s="16">
        <f>D16/3</f>
        <v>33.99</v>
      </c>
    </row>
    <row r="17" spans="1:1" ht="30.75" customHeight="1">
      <c r="A17" s="19" t="s">
        <v>99</v>
      </c>
    </row>
  </sheetData>
  <mergeCells count="12">
    <mergeCell ref="A1:G1"/>
    <mergeCell ref="B2:E2"/>
    <mergeCell ref="F2:G2"/>
    <mergeCell ref="A3:A11"/>
    <mergeCell ref="B3:E3"/>
    <mergeCell ref="F3:G3"/>
    <mergeCell ref="B5:D5"/>
    <mergeCell ref="B4:D4"/>
    <mergeCell ref="B7:B10"/>
    <mergeCell ref="C7:D7"/>
    <mergeCell ref="B11:D11"/>
    <mergeCell ref="B6:D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H1" sqref="H1:I1048576"/>
    </sheetView>
  </sheetViews>
  <sheetFormatPr defaultRowHeight="13.5"/>
  <cols>
    <col min="1" max="1" width="24" style="2" customWidth="1"/>
    <col min="2" max="2" width="30.25" style="2" customWidth="1"/>
    <col min="3" max="3" width="28.875" style="2" customWidth="1"/>
    <col min="4" max="4" width="12.5" style="2" customWidth="1"/>
    <col min="5" max="5" width="18.625" style="2" customWidth="1"/>
    <col min="6" max="6" width="16.875" style="2" hidden="1" customWidth="1"/>
    <col min="7" max="7" width="13.75" style="2" hidden="1" customWidth="1"/>
    <col min="8" max="8" width="14.875" style="2" hidden="1" customWidth="1"/>
    <col min="9" max="9" width="18.5" style="2" hidden="1" customWidth="1"/>
    <col min="10" max="11" width="18.5" style="2" customWidth="1"/>
    <col min="12" max="12" width="12.75" style="2" customWidth="1"/>
    <col min="13" max="16384" width="9" style="2"/>
  </cols>
  <sheetData>
    <row r="1" spans="1:14" ht="42" customHeight="1">
      <c r="A1" s="48" t="s">
        <v>120</v>
      </c>
      <c r="B1" s="48"/>
      <c r="C1" s="48"/>
      <c r="D1" s="48"/>
      <c r="E1" s="48"/>
      <c r="F1" s="48"/>
      <c r="G1" s="48"/>
    </row>
    <row r="2" spans="1:14" ht="28.5" customHeight="1">
      <c r="A2" s="10" t="s">
        <v>22</v>
      </c>
      <c r="B2" s="52" t="s">
        <v>29</v>
      </c>
      <c r="C2" s="52"/>
      <c r="D2" s="52"/>
      <c r="E2" s="52"/>
      <c r="F2" s="52" t="s">
        <v>19</v>
      </c>
      <c r="G2" s="52"/>
      <c r="H2" s="8"/>
      <c r="I2" s="8"/>
      <c r="J2" s="8"/>
      <c r="K2" s="8"/>
      <c r="L2" s="8"/>
      <c r="M2" s="9"/>
      <c r="N2" s="9"/>
    </row>
    <row r="3" spans="1:14" ht="28.5" customHeight="1">
      <c r="A3" s="49" t="s">
        <v>54</v>
      </c>
      <c r="B3" s="59" t="s">
        <v>63</v>
      </c>
      <c r="C3" s="59"/>
      <c r="D3" s="59"/>
      <c r="E3" s="59"/>
      <c r="F3" s="59"/>
      <c r="G3" s="59"/>
    </row>
    <row r="4" spans="1:14" ht="28.5" customHeight="1">
      <c r="A4" s="50"/>
      <c r="B4" s="56" t="s">
        <v>30</v>
      </c>
      <c r="C4" s="57"/>
      <c r="D4" s="58"/>
      <c r="E4" s="11">
        <f>2363.76*1.1</f>
        <v>2600.1360000000004</v>
      </c>
      <c r="F4" s="31" t="s">
        <v>23</v>
      </c>
      <c r="G4" s="5">
        <f>E4*0.9</f>
        <v>2340.1224000000007</v>
      </c>
    </row>
    <row r="5" spans="1:14" ht="28.5" customHeight="1">
      <c r="A5" s="50"/>
      <c r="B5" s="56" t="s">
        <v>74</v>
      </c>
      <c r="C5" s="57"/>
      <c r="D5" s="58"/>
      <c r="E5" s="11">
        <f>E4*12/10000</f>
        <v>3.1201632000000004</v>
      </c>
      <c r="F5" s="32" t="s">
        <v>76</v>
      </c>
      <c r="G5" s="5">
        <f>G4*12/10000</f>
        <v>2.8081468800000011</v>
      </c>
      <c r="H5" s="37" t="s">
        <v>111</v>
      </c>
    </row>
    <row r="6" spans="1:14" ht="28.5" customHeight="1">
      <c r="A6" s="50"/>
      <c r="B6" s="52" t="s">
        <v>107</v>
      </c>
      <c r="C6" s="52"/>
      <c r="D6" s="52"/>
      <c r="E6" s="11">
        <f>E7*12/10000</f>
        <v>0.31201632000000007</v>
      </c>
      <c r="F6" s="34"/>
      <c r="G6" s="5"/>
      <c r="H6" s="13">
        <f>E5+E6</f>
        <v>3.4321795200000005</v>
      </c>
    </row>
    <row r="7" spans="1:14" ht="28.5" customHeight="1">
      <c r="A7" s="50"/>
      <c r="B7" s="49" t="s">
        <v>92</v>
      </c>
      <c r="C7" s="52" t="s">
        <v>113</v>
      </c>
      <c r="D7" s="52"/>
      <c r="E7" s="11">
        <f>SUM(E8:E10)</f>
        <v>260.01360000000005</v>
      </c>
      <c r="F7" s="31" t="s">
        <v>77</v>
      </c>
      <c r="G7" s="5">
        <f>E7*0.9</f>
        <v>234.01224000000005</v>
      </c>
    </row>
    <row r="8" spans="1:14" ht="28.5" customHeight="1">
      <c r="A8" s="50"/>
      <c r="B8" s="50"/>
      <c r="C8" s="14" t="s">
        <v>47</v>
      </c>
      <c r="D8" s="14">
        <v>10</v>
      </c>
      <c r="E8" s="11">
        <f>E4*0.1*20%</f>
        <v>52.002720000000011</v>
      </c>
      <c r="F8" s="14"/>
      <c r="G8" s="3"/>
    </row>
    <row r="9" spans="1:14" ht="28.5" customHeight="1">
      <c r="A9" s="50"/>
      <c r="B9" s="50"/>
      <c r="C9" s="14" t="s">
        <v>50</v>
      </c>
      <c r="D9" s="14">
        <v>94.71</v>
      </c>
      <c r="E9" s="11">
        <f>E4*0.1*30%</f>
        <v>78.004080000000016</v>
      </c>
      <c r="F9" s="14"/>
      <c r="G9" s="3"/>
    </row>
    <row r="10" spans="1:14" ht="28.5" customHeight="1">
      <c r="A10" s="50"/>
      <c r="B10" s="51"/>
      <c r="C10" s="14" t="s">
        <v>49</v>
      </c>
      <c r="D10" s="14">
        <v>145.38999999999999</v>
      </c>
      <c r="E10" s="11">
        <f>E4*0.1*50%</f>
        <v>130.00680000000003</v>
      </c>
      <c r="F10" s="14"/>
      <c r="G10" s="3"/>
    </row>
    <row r="11" spans="1:14" ht="28.5" customHeight="1">
      <c r="A11" s="51"/>
      <c r="B11" s="52" t="s">
        <v>60</v>
      </c>
      <c r="C11" s="52"/>
      <c r="D11" s="52"/>
      <c r="E11" s="12">
        <f>E4+E7</f>
        <v>2860.1496000000006</v>
      </c>
      <c r="F11" s="31" t="s">
        <v>79</v>
      </c>
      <c r="G11" s="5">
        <f>G7+G4</f>
        <v>2574.1346400000007</v>
      </c>
    </row>
    <row r="12" spans="1:14" ht="28.5" customHeight="1">
      <c r="B12" s="2" t="s">
        <v>34</v>
      </c>
      <c r="C12" s="2" t="s">
        <v>54</v>
      </c>
    </row>
    <row r="13" spans="1:14" ht="30" customHeight="1">
      <c r="A13" s="2" t="s">
        <v>96</v>
      </c>
    </row>
    <row r="14" spans="1:14" ht="30" customHeight="1">
      <c r="A14" s="19" t="s">
        <v>97</v>
      </c>
      <c r="B14" s="19"/>
    </row>
    <row r="15" spans="1:14" ht="30" hidden="1" customHeight="1">
      <c r="A15" s="19" t="s">
        <v>36</v>
      </c>
      <c r="B15" s="19" t="s">
        <v>95</v>
      </c>
      <c r="C15" s="15" t="s">
        <v>38</v>
      </c>
      <c r="D15" s="15" t="s">
        <v>39</v>
      </c>
      <c r="E15" s="15" t="s">
        <v>40</v>
      </c>
    </row>
    <row r="16" spans="1:14" ht="30" hidden="1" customHeight="1">
      <c r="A16" s="19">
        <v>13.73</v>
      </c>
      <c r="B16" s="19">
        <v>77.42</v>
      </c>
      <c r="C16" s="15">
        <v>4</v>
      </c>
      <c r="D16" s="15">
        <f>SUM(A16:C16)</f>
        <v>95.15</v>
      </c>
      <c r="E16" s="16">
        <f>D16/3</f>
        <v>31.716666666666669</v>
      </c>
    </row>
    <row r="17" spans="1:5" ht="34.5" customHeight="1">
      <c r="A17" s="19" t="s">
        <v>99</v>
      </c>
      <c r="B17" s="19"/>
      <c r="C17" s="15"/>
      <c r="D17" s="15"/>
      <c r="E17" s="15"/>
    </row>
    <row r="18" spans="1:5">
      <c r="A18" s="19"/>
      <c r="B18" s="19"/>
    </row>
    <row r="19" spans="1:5">
      <c r="A19" s="19"/>
      <c r="B19" s="19"/>
    </row>
  </sheetData>
  <mergeCells count="12">
    <mergeCell ref="A1:G1"/>
    <mergeCell ref="B2:E2"/>
    <mergeCell ref="F2:G2"/>
    <mergeCell ref="A3:A11"/>
    <mergeCell ref="B3:E3"/>
    <mergeCell ref="F3:G3"/>
    <mergeCell ref="B4:D4"/>
    <mergeCell ref="B5:D5"/>
    <mergeCell ref="B7:B10"/>
    <mergeCell ref="C7:D7"/>
    <mergeCell ref="B11:D11"/>
    <mergeCell ref="B6:D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工资</vt:lpstr>
      <vt:lpstr>粮油</vt:lpstr>
      <vt:lpstr>昊恒</vt:lpstr>
      <vt:lpstr>建投</vt:lpstr>
      <vt:lpstr>盛鑫</vt:lpstr>
      <vt:lpstr>旅投</vt:lpstr>
      <vt:lpstr>东劳</vt:lpstr>
      <vt:lpstr>检测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cz01</dc:creator>
  <cp:lastModifiedBy>cz01</cp:lastModifiedBy>
  <cp:lastPrinted>2018-02-12T01:23:59Z</cp:lastPrinted>
  <dcterms:created xsi:type="dcterms:W3CDTF">2017-04-06T01:54:30Z</dcterms:created>
  <dcterms:modified xsi:type="dcterms:W3CDTF">2018-02-13T00:20:33Z</dcterms:modified>
</cp:coreProperties>
</file>